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embeddings/oleObject1.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Russell\Desktop\"/>
    </mc:Choice>
  </mc:AlternateContent>
  <xr:revisionPtr revIDLastSave="0" documentId="13_ncr:1_{A75E5D7D-1176-47FD-B1D5-61196C1D16C8}" xr6:coauthVersionLast="47" xr6:coauthVersionMax="47" xr10:uidLastSave="{00000000-0000-0000-0000-000000000000}"/>
  <bookViews>
    <workbookView xWindow="28680" yWindow="-120" windowWidth="29040" windowHeight="16440" tabRatio="837" xr2:uid="{56283B78-29CE-471C-A80D-A4C91B7B3030}"/>
  </bookViews>
  <sheets>
    <sheet name="Home" sheetId="39" r:id="rId1"/>
    <sheet name="Rigging calcs" sheetId="29" r:id="rId2"/>
    <sheet name="Rigging weights" sheetId="15" r:id="rId3"/>
    <sheet name="G80" sheetId="34" r:id="rId4"/>
    <sheet name="G100" sheetId="42" r:id="rId5"/>
    <sheet name="G120" sheetId="43" r:id="rId6"/>
    <sheet name="SB shackles" sheetId="35" r:id="rId7"/>
    <sheet name="WB shackles" sheetId="36" r:id="rId8"/>
    <sheet name="Super shackles" sheetId="37" r:id="rId9"/>
    <sheet name="Soft Rounds" sheetId="38" r:id="rId10"/>
    <sheet name="Wire slings 1770" sheetId="30" r:id="rId11"/>
    <sheet name="Wire slings 1960" sheetId="31" r:id="rId12"/>
    <sheet name="Conversions" sheetId="33" r:id="rId13"/>
    <sheet name="Load share calc" sheetId="2" r:id="rId14"/>
    <sheet name="Lift &amp; Tail calc" sheetId="25" r:id="rId15"/>
    <sheet name="Multi crane calcs" sheetId="46" r:id="rId16"/>
    <sheet name="Boom clearance" sheetId="47" r:id="rId17"/>
    <sheet name="Sling tensions - 2 pt" sheetId="48" r:id="rId18"/>
    <sheet name="Sling tensions - 4 pt" sheetId="49" r:id="rId19"/>
    <sheet name="4 point lift calc" sheetId="41" r:id="rId20"/>
    <sheet name="Load splits - 8 pt" sheetId="26" r:id="rId21"/>
    <sheet name="Sling tensions - 8 pt" sheetId="27" r:id="rId22"/>
    <sheet name="Interpolate" sheetId="9" r:id="rId23"/>
    <sheet name="Wind speeds" sheetId="10" r:id="rId24"/>
    <sheet name="GBP Calc" sheetId="40" r:id="rId25"/>
    <sheet name="Min hook weight" sheetId="11" r:id="rId26"/>
    <sheet name="Interpolate SSL" sheetId="13" r:id="rId27"/>
    <sheet name="Liebherr line pulls" sheetId="7" r:id="rId28"/>
    <sheet name="Tadano line pulls" sheetId="22" r:id="rId29"/>
    <sheet name="Grove line pulls" sheetId="23" r:id="rId30"/>
    <sheet name="Demag line pulls" sheetId="24" r:id="rId31"/>
    <sheet name="Misc Line pulls" sheetId="5" r:id="rId32"/>
    <sheet name="Liebherr hooks" sheetId="8" r:id="rId33"/>
    <sheet name="Tadano hooks" sheetId="18" r:id="rId34"/>
    <sheet name="Grove hooks" sheetId="19" r:id="rId35"/>
    <sheet name="Demag hooks" sheetId="20" r:id="rId36"/>
  </sheets>
  <definedNames>
    <definedName name="_xlnm.Print_Area" localSheetId="19">'4 point lift calc'!$A$1:$O$32</definedName>
    <definedName name="_xlnm.Print_Area" localSheetId="16">'Boom clearance'!$A$1:$AO$46</definedName>
    <definedName name="_xlnm.Print_Area" localSheetId="12">Conversions!$A$1:$P$52</definedName>
    <definedName name="_xlnm.Print_Area" localSheetId="24">'GBP Calc'!$A$1:$AD$41</definedName>
    <definedName name="_xlnm.Print_Area" localSheetId="14">'Lift &amp; Tail calc'!$A$1:$N$52</definedName>
    <definedName name="_xlnm.Print_Area" localSheetId="20">'Load splits - 8 pt'!$A$1:$AV$35</definedName>
    <definedName name="_xlnm.Print_Area" localSheetId="15">'Multi crane calcs'!$A$1:$S$53</definedName>
    <definedName name="_xlnm.Print_Area" localSheetId="1">'Rigging calcs'!$A$1:$AD$32</definedName>
    <definedName name="_xlnm.Print_Area" localSheetId="2">'Rigging weights'!$A$1:$AB$27</definedName>
    <definedName name="_xlnm.Print_Area" localSheetId="18">'Sling tensions - 4 pt'!$A$1:$T$26</definedName>
    <definedName name="_xlnm.Print_Area" localSheetId="21">'Sling tensions - 8 pt'!$A$1:$X$32</definedName>
    <definedName name="_xlnm.Print_Area" localSheetId="8">'Super shackles'!$A$1:$T$36</definedName>
    <definedName name="_xlnm.Print_Area" localSheetId="23">'Wind speeds'!$A$1:$T$41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41" l="1"/>
  <c r="AG37" i="8"/>
  <c r="K12" i="5"/>
  <c r="K9" i="5"/>
  <c r="I36" i="7"/>
  <c r="BD11" i="47"/>
  <c r="D51" i="46"/>
  <c r="D37" i="46"/>
  <c r="D23" i="46"/>
  <c r="P49" i="46"/>
  <c r="L49" i="46"/>
  <c r="H49" i="46"/>
  <c r="P46" i="46"/>
  <c r="L46" i="46"/>
  <c r="H46" i="46"/>
  <c r="D46" i="46"/>
  <c r="D49" i="46" s="1"/>
  <c r="L32" i="46"/>
  <c r="L35" i="46" s="1"/>
  <c r="H32" i="46"/>
  <c r="H35" i="46" s="1"/>
  <c r="D32" i="46"/>
  <c r="D35" i="46" s="1"/>
  <c r="H18" i="46"/>
  <c r="H21" i="46" s="1"/>
  <c r="D18" i="46"/>
  <c r="D21" i="46" s="1"/>
  <c r="B19" i="26"/>
  <c r="C18" i="25"/>
  <c r="C19" i="25" s="1"/>
  <c r="AH16" i="40"/>
  <c r="AH18" i="40" s="1"/>
  <c r="M15" i="49"/>
  <c r="S12" i="49"/>
  <c r="S11" i="49"/>
  <c r="S10" i="49"/>
  <c r="S9" i="49"/>
  <c r="O7" i="49"/>
  <c r="Q7" i="49" s="1"/>
  <c r="S7" i="49" s="1"/>
  <c r="O6" i="49"/>
  <c r="Q6" i="49" s="1"/>
  <c r="S6" i="49" s="1"/>
  <c r="C9" i="11"/>
  <c r="C7" i="11"/>
  <c r="C25" i="15"/>
  <c r="C19" i="15"/>
  <c r="C11" i="15"/>
  <c r="I16" i="10"/>
  <c r="H11" i="10"/>
  <c r="I15" i="10" s="1"/>
  <c r="H10" i="10"/>
  <c r="C20" i="2"/>
  <c r="F18" i="2"/>
  <c r="F20" i="2" s="1"/>
  <c r="C18" i="2"/>
  <c r="D18" i="29" a="1"/>
  <c r="D18" i="29" s="1"/>
  <c r="K17" i="9"/>
  <c r="BD4" i="47" l="1"/>
  <c r="BD3" i="47"/>
  <c r="BD5" i="47" s="1"/>
  <c r="D19" i="25"/>
  <c r="H19" i="25" s="1"/>
  <c r="C20" i="25"/>
  <c r="G19" i="25"/>
  <c r="G18" i="25"/>
  <c r="D18" i="25"/>
  <c r="H18" i="25" s="1"/>
  <c r="AH17" i="40"/>
  <c r="AH19" i="40"/>
  <c r="AH20" i="40" s="1"/>
  <c r="AH21" i="40" s="1"/>
  <c r="I13" i="10"/>
  <c r="M6" i="49"/>
  <c r="M7" i="49"/>
  <c r="M9" i="49"/>
  <c r="O9" i="49"/>
  <c r="Q9" i="49"/>
  <c r="M10" i="49"/>
  <c r="Q10" i="49" s="1"/>
  <c r="O10" i="49"/>
  <c r="M11" i="49"/>
  <c r="O11" i="49"/>
  <c r="Q11" i="49"/>
  <c r="M12" i="49"/>
  <c r="O12" i="49"/>
  <c r="Q12" i="49"/>
  <c r="M14" i="49"/>
  <c r="C15" i="48"/>
  <c r="C16" i="48"/>
  <c r="C18" i="48"/>
  <c r="C19" i="48"/>
  <c r="C20" i="48" s="1"/>
  <c r="C22" i="48"/>
  <c r="C23" i="48"/>
  <c r="C24" i="48" s="1"/>
  <c r="B26" i="48"/>
  <c r="B27" i="48"/>
  <c r="BD6" i="47"/>
  <c r="BD7" i="47"/>
  <c r="BD8" i="47" s="1"/>
  <c r="D19" i="46"/>
  <c r="H19" i="46"/>
  <c r="D33" i="46"/>
  <c r="H33" i="46"/>
  <c r="L33" i="46"/>
  <c r="D47" i="46"/>
  <c r="H47" i="46"/>
  <c r="L47" i="46"/>
  <c r="P47" i="46"/>
  <c r="G20" i="25" l="1"/>
  <c r="C21" i="25"/>
  <c r="D20" i="25"/>
  <c r="H20" i="25" s="1"/>
  <c r="H32" i="40"/>
  <c r="H31" i="40"/>
  <c r="M16" i="49"/>
  <c r="B28" i="48"/>
  <c r="BD9" i="47"/>
  <c r="BD10" i="47" s="1"/>
  <c r="F26" i="41"/>
  <c r="C26" i="41"/>
  <c r="F13" i="41"/>
  <c r="C13" i="41"/>
  <c r="J39" i="47" l="1"/>
  <c r="V52" i="47"/>
  <c r="J28" i="47"/>
  <c r="L21" i="47" s="1"/>
  <c r="AM26" i="47"/>
  <c r="C22" i="25"/>
  <c r="G21" i="25"/>
  <c r="D21" i="25"/>
  <c r="H21" i="25" s="1"/>
  <c r="J11" i="41"/>
  <c r="J13" i="41" s="1"/>
  <c r="N11" i="41"/>
  <c r="N13" i="41" s="1"/>
  <c r="N26" i="41"/>
  <c r="N28" i="41" s="1"/>
  <c r="J26" i="41"/>
  <c r="J28" i="41" s="1"/>
  <c r="D22" i="25" l="1"/>
  <c r="H22" i="25" s="1"/>
  <c r="G22" i="25"/>
  <c r="C23" i="25"/>
  <c r="J12" i="41"/>
  <c r="J27" i="41"/>
  <c r="N12" i="41"/>
  <c r="N27" i="41"/>
  <c r="C24" i="25" l="1"/>
  <c r="G23" i="25"/>
  <c r="D23" i="25"/>
  <c r="H23" i="25" s="1"/>
  <c r="E37" i="9"/>
  <c r="AH15" i="40"/>
  <c r="AH12" i="40"/>
  <c r="AH11" i="40"/>
  <c r="AH10" i="40"/>
  <c r="AH9" i="40"/>
  <c r="AH8" i="40"/>
  <c r="G24" i="25" l="1"/>
  <c r="C25" i="25"/>
  <c r="D24" i="25"/>
  <c r="H24" i="25" s="1"/>
  <c r="H33" i="40"/>
  <c r="D25" i="25" l="1"/>
  <c r="H25" i="25" s="1"/>
  <c r="G25" i="25"/>
  <c r="C26" i="25"/>
  <c r="D10" i="29" a="1"/>
  <c r="D10" i="29" s="1"/>
  <c r="X7" i="29" a="1"/>
  <c r="X7" i="29" s="1"/>
  <c r="X8" i="29" a="1"/>
  <c r="X8" i="29" s="1"/>
  <c r="X9" i="29" a="1"/>
  <c r="X9" i="29" s="1"/>
  <c r="X10" i="29" a="1"/>
  <c r="X10" i="29" s="1"/>
  <c r="X11" i="29" a="1"/>
  <c r="X11" i="29" s="1"/>
  <c r="X12" i="29" a="1"/>
  <c r="X12" i="29" s="1"/>
  <c r="X13" i="29" a="1"/>
  <c r="X13" i="29" s="1"/>
  <c r="X14" i="29" a="1"/>
  <c r="X14" i="29" s="1"/>
  <c r="X15" i="29" a="1"/>
  <c r="X15" i="29" s="1"/>
  <c r="X16" i="29" a="1"/>
  <c r="X16" i="29" s="1"/>
  <c r="X17" i="29" a="1"/>
  <c r="X17" i="29" s="1"/>
  <c r="X18" i="29" a="1"/>
  <c r="X18" i="29" s="1"/>
  <c r="X19" i="29" a="1"/>
  <c r="X19" i="29" s="1"/>
  <c r="X20" i="29" a="1"/>
  <c r="X20" i="29" s="1"/>
  <c r="N46" i="33"/>
  <c r="N35" i="33"/>
  <c r="N26" i="33"/>
  <c r="N18" i="33"/>
  <c r="N7" i="33"/>
  <c r="Y16" i="29" a="1"/>
  <c r="Y11" i="29" a="1"/>
  <c r="Y21" i="29" a="1"/>
  <c r="Y10" i="29" a="1"/>
  <c r="Y23" i="29" a="1"/>
  <c r="Y27" i="29" a="1"/>
  <c r="Y30" i="29" a="1"/>
  <c r="Y12" i="29" a="1"/>
  <c r="Y28" i="29" a="1"/>
  <c r="Y20" i="29" a="1"/>
  <c r="Y24" i="29" a="1"/>
  <c r="Y26" i="29" a="1"/>
  <c r="Y25" i="29" a="1"/>
  <c r="D28" i="29" a="1"/>
  <c r="Y13" i="29" a="1"/>
  <c r="Y29" i="29" a="1"/>
  <c r="Y15" i="29" a="1"/>
  <c r="Y19" i="29" a="1"/>
  <c r="Y7" i="29" a="1"/>
  <c r="Y22" i="29" a="1"/>
  <c r="Y8" i="29" a="1"/>
  <c r="Y17" i="29" a="1"/>
  <c r="Y14" i="29" a="1"/>
  <c r="Y9" i="29" a="1"/>
  <c r="Y18" i="29" a="1"/>
  <c r="D26" i="25" l="1"/>
  <c r="H26" i="25" s="1"/>
  <c r="G26" i="25"/>
  <c r="C27" i="25"/>
  <c r="Y8" i="29"/>
  <c r="Y7" i="29"/>
  <c r="Y11" i="29"/>
  <c r="Y15" i="29"/>
  <c r="Y25" i="29"/>
  <c r="Y26" i="29"/>
  <c r="Y19" i="29"/>
  <c r="Y18" i="29"/>
  <c r="Y12" i="29"/>
  <c r="Y16" i="29"/>
  <c r="Y27" i="29"/>
  <c r="D28" i="29"/>
  <c r="Y20" i="29"/>
  <c r="Y21" i="29"/>
  <c r="Y13" i="29"/>
  <c r="Y17" i="29"/>
  <c r="Y28" i="29"/>
  <c r="Y24" i="29"/>
  <c r="Y22" i="29"/>
  <c r="Y29" i="29"/>
  <c r="Y9" i="29"/>
  <c r="Y30" i="29"/>
  <c r="Y10" i="29"/>
  <c r="Y14" i="29"/>
  <c r="Y23" i="29"/>
  <c r="D27" i="25" l="1"/>
  <c r="H27" i="25" s="1"/>
  <c r="G27" i="25"/>
  <c r="C28" i="25"/>
  <c r="C33" i="27"/>
  <c r="Z9" i="27" s="1"/>
  <c r="Z8" i="27"/>
  <c r="Z7" i="27"/>
  <c r="Z6" i="27"/>
  <c r="Z5" i="27"/>
  <c r="C5" i="27"/>
  <c r="AE24" i="26"/>
  <c r="C14" i="27" s="1"/>
  <c r="K6" i="24"/>
  <c r="K7" i="24"/>
  <c r="K8" i="24"/>
  <c r="K9" i="24"/>
  <c r="K10" i="24"/>
  <c r="K11" i="24"/>
  <c r="K12" i="24"/>
  <c r="K13" i="24"/>
  <c r="K14" i="24"/>
  <c r="K15" i="24"/>
  <c r="J6" i="24"/>
  <c r="J7" i="24"/>
  <c r="J8" i="24"/>
  <c r="J9" i="24"/>
  <c r="J10" i="24"/>
  <c r="J11" i="24"/>
  <c r="J12" i="24"/>
  <c r="J13" i="24"/>
  <c r="J14" i="24"/>
  <c r="J15" i="24"/>
  <c r="I6" i="24"/>
  <c r="I7" i="24"/>
  <c r="I8" i="24"/>
  <c r="I9" i="24"/>
  <c r="I10" i="24"/>
  <c r="I11" i="24"/>
  <c r="I12" i="24"/>
  <c r="I13" i="24"/>
  <c r="I14" i="24"/>
  <c r="I15" i="24"/>
  <c r="I16" i="24"/>
  <c r="H6" i="24"/>
  <c r="H7" i="24"/>
  <c r="H8" i="24"/>
  <c r="H9" i="24"/>
  <c r="H10" i="24"/>
  <c r="H11" i="24"/>
  <c r="H12" i="24"/>
  <c r="H13" i="24"/>
  <c r="H14" i="24"/>
  <c r="H15" i="24"/>
  <c r="H16" i="24"/>
  <c r="H17" i="24"/>
  <c r="H18" i="24"/>
  <c r="G6" i="24"/>
  <c r="G7" i="24"/>
  <c r="G8" i="24"/>
  <c r="G9" i="24"/>
  <c r="G10" i="24"/>
  <c r="G11" i="24"/>
  <c r="G12" i="24"/>
  <c r="G13" i="24"/>
  <c r="G14" i="24"/>
  <c r="G15" i="24"/>
  <c r="G16" i="24"/>
  <c r="G17" i="24"/>
  <c r="G18" i="24"/>
  <c r="G19" i="24"/>
  <c r="G20" i="24"/>
  <c r="G21" i="24"/>
  <c r="G22" i="24"/>
  <c r="F6" i="24"/>
  <c r="F7" i="24"/>
  <c r="F8" i="24"/>
  <c r="F9" i="24"/>
  <c r="F10" i="24"/>
  <c r="F11" i="24"/>
  <c r="F12" i="24"/>
  <c r="F13" i="24"/>
  <c r="F14" i="24"/>
  <c r="F15" i="24"/>
  <c r="F16" i="24"/>
  <c r="E6" i="24"/>
  <c r="E7" i="24"/>
  <c r="E8" i="24"/>
  <c r="E9" i="24"/>
  <c r="E10" i="24"/>
  <c r="E11" i="24"/>
  <c r="E12" i="24"/>
  <c r="E13" i="24"/>
  <c r="E14" i="24"/>
  <c r="E15" i="24"/>
  <c r="E16" i="24"/>
  <c r="D6" i="24"/>
  <c r="D7" i="24"/>
  <c r="D8" i="24"/>
  <c r="D9" i="24"/>
  <c r="D10" i="24"/>
  <c r="D11" i="24"/>
  <c r="D12" i="24"/>
  <c r="D13" i="24"/>
  <c r="D14" i="24"/>
  <c r="D15" i="24"/>
  <c r="D16" i="24"/>
  <c r="D17" i="24"/>
  <c r="C6" i="24"/>
  <c r="C7" i="24"/>
  <c r="C8" i="24"/>
  <c r="C9" i="24"/>
  <c r="C10" i="24"/>
  <c r="J6" i="23"/>
  <c r="J7" i="23"/>
  <c r="J8" i="23"/>
  <c r="J9" i="23"/>
  <c r="J10" i="23"/>
  <c r="J11" i="23"/>
  <c r="J12" i="23"/>
  <c r="J13" i="23"/>
  <c r="J14" i="23"/>
  <c r="I6" i="23"/>
  <c r="I7" i="23"/>
  <c r="I8" i="23"/>
  <c r="I9" i="23"/>
  <c r="I10" i="23"/>
  <c r="I11" i="23"/>
  <c r="I12" i="23"/>
  <c r="I13" i="23"/>
  <c r="I14" i="23"/>
  <c r="I15" i="23"/>
  <c r="I16" i="23"/>
  <c r="I17" i="23"/>
  <c r="I18" i="23"/>
  <c r="I19" i="23"/>
  <c r="I20" i="23"/>
  <c r="I21" i="23"/>
  <c r="I22" i="23"/>
  <c r="H6" i="23"/>
  <c r="H7" i="23"/>
  <c r="H8" i="23"/>
  <c r="H9" i="23"/>
  <c r="H10" i="23"/>
  <c r="H11" i="23"/>
  <c r="H12" i="23"/>
  <c r="H13" i="23"/>
  <c r="H14" i="23"/>
  <c r="H15" i="23"/>
  <c r="H16" i="23"/>
  <c r="H17" i="23"/>
  <c r="H18" i="23"/>
  <c r="H19" i="23"/>
  <c r="H20" i="23"/>
  <c r="H21" i="23"/>
  <c r="H22" i="23"/>
  <c r="G6" i="23"/>
  <c r="G7" i="23"/>
  <c r="G8" i="23"/>
  <c r="G9" i="23"/>
  <c r="G10" i="23"/>
  <c r="G11" i="23"/>
  <c r="G12" i="23"/>
  <c r="G13" i="23"/>
  <c r="G14" i="23"/>
  <c r="G15" i="23"/>
  <c r="G16" i="23"/>
  <c r="G17" i="23"/>
  <c r="G18" i="23"/>
  <c r="G19" i="23"/>
  <c r="G20" i="23"/>
  <c r="G21" i="23"/>
  <c r="G22" i="23"/>
  <c r="F6" i="23"/>
  <c r="F7" i="23"/>
  <c r="F8" i="23"/>
  <c r="F9" i="23"/>
  <c r="F10" i="23"/>
  <c r="F11" i="23"/>
  <c r="F12" i="23"/>
  <c r="F13" i="23"/>
  <c r="F14" i="23"/>
  <c r="F15" i="23"/>
  <c r="F16" i="23"/>
  <c r="F17" i="23"/>
  <c r="F18" i="23"/>
  <c r="F19" i="23"/>
  <c r="F20" i="23"/>
  <c r="F21" i="23"/>
  <c r="F22" i="23"/>
  <c r="E6" i="23"/>
  <c r="E7" i="23"/>
  <c r="E8" i="23"/>
  <c r="E9" i="23"/>
  <c r="E10" i="23"/>
  <c r="E11" i="23"/>
  <c r="E12" i="23"/>
  <c r="E13" i="23"/>
  <c r="E14" i="23"/>
  <c r="E15" i="23"/>
  <c r="D6" i="23"/>
  <c r="D7" i="23"/>
  <c r="D8" i="23"/>
  <c r="D9" i="23"/>
  <c r="D10" i="23"/>
  <c r="D11" i="23"/>
  <c r="D12" i="23"/>
  <c r="D13" i="23"/>
  <c r="D14" i="23"/>
  <c r="D15" i="23"/>
  <c r="C6" i="23"/>
  <c r="C7" i="23"/>
  <c r="C8" i="23"/>
  <c r="C9" i="23"/>
  <c r="C10" i="23"/>
  <c r="L6" i="22"/>
  <c r="L7" i="22"/>
  <c r="L8" i="22"/>
  <c r="L9" i="22"/>
  <c r="L10" i="22"/>
  <c r="L11" i="22"/>
  <c r="L12" i="22"/>
  <c r="L13" i="22"/>
  <c r="L14" i="22"/>
  <c r="L15" i="22"/>
  <c r="L16" i="22"/>
  <c r="L17" i="22"/>
  <c r="L18" i="22"/>
  <c r="L19" i="22"/>
  <c r="L20" i="22"/>
  <c r="L21" i="22"/>
  <c r="L22" i="22"/>
  <c r="K6" i="22"/>
  <c r="K7" i="22"/>
  <c r="K8" i="22"/>
  <c r="K9" i="22"/>
  <c r="K10" i="22"/>
  <c r="K11" i="22"/>
  <c r="K12" i="22"/>
  <c r="K13" i="22"/>
  <c r="K14" i="22"/>
  <c r="K15" i="22"/>
  <c r="K16" i="22"/>
  <c r="K17" i="22"/>
  <c r="K18" i="22"/>
  <c r="K19" i="22"/>
  <c r="K20" i="22"/>
  <c r="K21" i="22"/>
  <c r="K22" i="22"/>
  <c r="K23" i="22"/>
  <c r="K24" i="22"/>
  <c r="J6" i="22"/>
  <c r="J7" i="22"/>
  <c r="J8" i="22"/>
  <c r="J9" i="22"/>
  <c r="J10" i="22"/>
  <c r="J11" i="22"/>
  <c r="J12" i="22"/>
  <c r="J13" i="22"/>
  <c r="J14" i="22"/>
  <c r="J15" i="22"/>
  <c r="J16" i="22"/>
  <c r="J17" i="22"/>
  <c r="J18" i="22"/>
  <c r="J19" i="22"/>
  <c r="J20" i="22"/>
  <c r="J21" i="22"/>
  <c r="J22" i="22"/>
  <c r="J23" i="22"/>
  <c r="J24" i="22"/>
  <c r="I6" i="22"/>
  <c r="I7" i="22"/>
  <c r="I8" i="22"/>
  <c r="I9" i="22"/>
  <c r="I10" i="22"/>
  <c r="I11" i="22"/>
  <c r="I12" i="22"/>
  <c r="I13" i="22"/>
  <c r="I14" i="22"/>
  <c r="I15" i="22"/>
  <c r="I16" i="22"/>
  <c r="I17" i="22"/>
  <c r="I18" i="22"/>
  <c r="I19" i="22"/>
  <c r="H6" i="22"/>
  <c r="H7" i="22"/>
  <c r="H8" i="22"/>
  <c r="H9" i="22"/>
  <c r="H10" i="22"/>
  <c r="H11" i="22"/>
  <c r="H12" i="22"/>
  <c r="H13" i="22"/>
  <c r="H14" i="22"/>
  <c r="H15" i="22"/>
  <c r="H16" i="22"/>
  <c r="H17" i="22"/>
  <c r="H18" i="22"/>
  <c r="H19" i="22"/>
  <c r="G6" i="22"/>
  <c r="G7" i="22"/>
  <c r="G8" i="22"/>
  <c r="G9" i="22"/>
  <c r="G10" i="22"/>
  <c r="G11" i="22"/>
  <c r="G12" i="22"/>
  <c r="G13" i="22"/>
  <c r="G14" i="22"/>
  <c r="G15" i="22"/>
  <c r="G16" i="22"/>
  <c r="G17" i="22"/>
  <c r="G18" i="22"/>
  <c r="G19" i="22"/>
  <c r="D6" i="22"/>
  <c r="D7" i="22"/>
  <c r="D8" i="22"/>
  <c r="D9" i="22"/>
  <c r="D10" i="22"/>
  <c r="D11" i="22"/>
  <c r="D12" i="22"/>
  <c r="D13" i="22"/>
  <c r="D14" i="22"/>
  <c r="D15" i="22"/>
  <c r="T39" i="25"/>
  <c r="S39" i="25"/>
  <c r="P39" i="25" s="1"/>
  <c r="T38" i="25"/>
  <c r="Q38" i="25" s="1"/>
  <c r="S38" i="25"/>
  <c r="P38" i="25" s="1"/>
  <c r="T37" i="25"/>
  <c r="S37" i="25"/>
  <c r="Q37" i="25" s="1"/>
  <c r="P37" i="25"/>
  <c r="T36" i="25"/>
  <c r="Q36" i="25" s="1"/>
  <c r="S36" i="25"/>
  <c r="P36" i="25"/>
  <c r="T35" i="25"/>
  <c r="S35" i="25"/>
  <c r="Q35" i="25" s="1"/>
  <c r="T34" i="25"/>
  <c r="S34" i="25"/>
  <c r="P34" i="25" s="1"/>
  <c r="T33" i="25"/>
  <c r="Q33" i="25" s="1"/>
  <c r="S33" i="25"/>
  <c r="P33" i="25" s="1"/>
  <c r="T32" i="25"/>
  <c r="S32" i="25"/>
  <c r="P32" i="25" s="1"/>
  <c r="T31" i="25"/>
  <c r="S31" i="25"/>
  <c r="P31" i="25" s="1"/>
  <c r="Q31" i="25"/>
  <c r="T30" i="25"/>
  <c r="S30" i="25"/>
  <c r="Q30" i="25" s="1"/>
  <c r="P30" i="25"/>
  <c r="T29" i="25"/>
  <c r="Q29" i="25" s="1"/>
  <c r="S29" i="25"/>
  <c r="P29" i="25"/>
  <c r="T28" i="25"/>
  <c r="S28" i="25"/>
  <c r="Q28" i="25"/>
  <c r="P28" i="25"/>
  <c r="R28" i="25" s="1"/>
  <c r="T27" i="25"/>
  <c r="S27" i="25"/>
  <c r="P27" i="25" s="1"/>
  <c r="Q27" i="25"/>
  <c r="T26" i="25"/>
  <c r="S26" i="25"/>
  <c r="Q26" i="25"/>
  <c r="P26" i="25"/>
  <c r="T25" i="25"/>
  <c r="Q25" i="25" s="1"/>
  <c r="S25" i="25"/>
  <c r="T24" i="25"/>
  <c r="S24" i="25"/>
  <c r="P24" i="25" s="1"/>
  <c r="Q24" i="25"/>
  <c r="T23" i="25"/>
  <c r="S23" i="25"/>
  <c r="P23" i="25"/>
  <c r="T22" i="25"/>
  <c r="S22" i="25"/>
  <c r="P22" i="25" s="1"/>
  <c r="R22" i="25" s="1"/>
  <c r="Q22" i="25"/>
  <c r="T21" i="25"/>
  <c r="S21" i="25"/>
  <c r="Q21" i="25" s="1"/>
  <c r="P21" i="25"/>
  <c r="T20" i="25"/>
  <c r="S20" i="25"/>
  <c r="Q20" i="25" s="1"/>
  <c r="T19" i="25"/>
  <c r="Q19" i="25" s="1"/>
  <c r="S19" i="25"/>
  <c r="P19" i="25" s="1"/>
  <c r="R19" i="25" s="1"/>
  <c r="T18" i="25"/>
  <c r="S18" i="25"/>
  <c r="P18" i="25" s="1"/>
  <c r="I9" i="25"/>
  <c r="G9" i="25"/>
  <c r="G28" i="25" l="1"/>
  <c r="C29" i="25"/>
  <c r="D28" i="25"/>
  <c r="H28" i="25" s="1"/>
  <c r="P25" i="25"/>
  <c r="Q34" i="25"/>
  <c r="Q39" i="25"/>
  <c r="R32" i="25"/>
  <c r="Q18" i="25"/>
  <c r="R18" i="25" s="1"/>
  <c r="Q32" i="25"/>
  <c r="Q23" i="25"/>
  <c r="R23" i="25" s="1"/>
  <c r="Z13" i="27"/>
  <c r="Z11" i="27"/>
  <c r="AO24" i="26"/>
  <c r="C15" i="27" s="1"/>
  <c r="R36" i="25"/>
  <c r="R33" i="25"/>
  <c r="R26" i="25"/>
  <c r="R31" i="25"/>
  <c r="R38" i="25"/>
  <c r="R24" i="25"/>
  <c r="R30" i="25"/>
  <c r="R29" i="25"/>
  <c r="R21" i="25"/>
  <c r="R34" i="25"/>
  <c r="R39" i="25"/>
  <c r="R27" i="25"/>
  <c r="R37" i="25"/>
  <c r="Z12" i="27"/>
  <c r="Z15" i="27" s="1"/>
  <c r="C39" i="27" s="1"/>
  <c r="Z16" i="27"/>
  <c r="Z17" i="27" s="1"/>
  <c r="Z20" i="27"/>
  <c r="Z10" i="27"/>
  <c r="Z14" i="27" s="1"/>
  <c r="C36" i="27" s="1"/>
  <c r="Z19" i="27"/>
  <c r="K6" i="26"/>
  <c r="C8" i="27" s="1"/>
  <c r="W6" i="26"/>
  <c r="C9" i="27" s="1"/>
  <c r="AE6" i="26"/>
  <c r="C12" i="27" s="1"/>
  <c r="AO6" i="26"/>
  <c r="C13" i="27" s="1"/>
  <c r="B23" i="26"/>
  <c r="K24" i="26"/>
  <c r="C10" i="27" s="1"/>
  <c r="W24" i="26"/>
  <c r="C11" i="27" s="1"/>
  <c r="R25" i="25"/>
  <c r="P35" i="25"/>
  <c r="R35" i="25" s="1"/>
  <c r="P20" i="25"/>
  <c r="R20" i="25" s="1"/>
  <c r="E37" i="27" l="1"/>
  <c r="Z25" i="27"/>
  <c r="E40" i="27"/>
  <c r="Z26" i="27"/>
  <c r="O29" i="27"/>
  <c r="Z18" i="27"/>
  <c r="Z21" i="27" s="1"/>
  <c r="C30" i="25"/>
  <c r="D29" i="25"/>
  <c r="H29" i="25" s="1"/>
  <c r="G29" i="25"/>
  <c r="D30" i="25" l="1"/>
  <c r="H30" i="25" s="1"/>
  <c r="C31" i="25"/>
  <c r="G30" i="25"/>
  <c r="Z22" i="27"/>
  <c r="Z24" i="27" s="1"/>
  <c r="Z23" i="27"/>
  <c r="O28" i="27" l="1"/>
  <c r="C32" i="25"/>
  <c r="G31" i="25"/>
  <c r="D31" i="25"/>
  <c r="H31" i="25" s="1"/>
  <c r="Q12" i="27"/>
  <c r="O12" i="27"/>
  <c r="Q23" i="27"/>
  <c r="Q15" i="27"/>
  <c r="Q22" i="27"/>
  <c r="Q18" i="27"/>
  <c r="O15" i="27"/>
  <c r="O20" i="27"/>
  <c r="O22" i="27"/>
  <c r="O18" i="27"/>
  <c r="Q8" i="27"/>
  <c r="O23" i="27"/>
  <c r="O8" i="27"/>
  <c r="Q11" i="27"/>
  <c r="O11" i="27"/>
  <c r="Q21" i="27"/>
  <c r="Q17" i="27"/>
  <c r="O21" i="27"/>
  <c r="O17" i="27"/>
  <c r="O10" i="27"/>
  <c r="O16" i="27"/>
  <c r="Q13" i="27"/>
  <c r="Q7" i="27"/>
  <c r="O13" i="27"/>
  <c r="O7" i="27"/>
  <c r="Q20" i="27"/>
  <c r="Q10" i="27"/>
  <c r="S10" i="27" s="1"/>
  <c r="W10" i="27" s="1"/>
  <c r="Q16" i="27"/>
  <c r="S12" i="27" l="1"/>
  <c r="W12" i="27" s="1"/>
  <c r="S21" i="27"/>
  <c r="W21" i="27" s="1"/>
  <c r="S16" i="27"/>
  <c r="W16" i="27" s="1"/>
  <c r="S23" i="27"/>
  <c r="W23" i="27" s="1"/>
  <c r="D32" i="25"/>
  <c r="H32" i="25" s="1"/>
  <c r="C33" i="25"/>
  <c r="G32" i="25"/>
  <c r="S8" i="27"/>
  <c r="W8" i="27" s="1"/>
  <c r="S11" i="27"/>
  <c r="W11" i="27" s="1"/>
  <c r="S20" i="27"/>
  <c r="W20" i="27" s="1"/>
  <c r="S18" i="27"/>
  <c r="W18" i="27" s="1"/>
  <c r="S7" i="27"/>
  <c r="S22" i="27"/>
  <c r="W22" i="27" s="1"/>
  <c r="S13" i="27"/>
  <c r="W13" i="27" s="1"/>
  <c r="S15" i="27"/>
  <c r="W15" i="27" s="1"/>
  <c r="S17" i="27"/>
  <c r="W17" i="27" s="1"/>
  <c r="W7" i="27" l="1"/>
  <c r="O30" i="27"/>
  <c r="D33" i="25"/>
  <c r="H33" i="25" s="1"/>
  <c r="G33" i="25"/>
  <c r="C34" i="25"/>
  <c r="C16" i="15"/>
  <c r="C35" i="25" l="1"/>
  <c r="G34" i="25"/>
  <c r="D34" i="25"/>
  <c r="H34" i="25" s="1"/>
  <c r="E8" i="9"/>
  <c r="C10" i="9"/>
  <c r="I33" i="7"/>
  <c r="O32" i="13"/>
  <c r="J32" i="13"/>
  <c r="F32" i="13"/>
  <c r="B32" i="13"/>
  <c r="C29" i="13"/>
  <c r="D29" i="13" s="1"/>
  <c r="K27" i="13"/>
  <c r="C27" i="13"/>
  <c r="D27" i="13" s="1"/>
  <c r="E27" i="13" s="1"/>
  <c r="F27" i="13" s="1"/>
  <c r="O16" i="13"/>
  <c r="I16" i="13"/>
  <c r="G16" i="13"/>
  <c r="B16" i="13"/>
  <c r="J13" i="13"/>
  <c r="K13" i="13" s="1"/>
  <c r="K16" i="13" s="1"/>
  <c r="C13" i="13"/>
  <c r="C16" i="13" s="1"/>
  <c r="J11" i="13"/>
  <c r="K11" i="13" s="1"/>
  <c r="L11" i="13" s="1"/>
  <c r="M11" i="13" s="1"/>
  <c r="N11" i="13" s="1"/>
  <c r="O11" i="13" s="1"/>
  <c r="C11" i="13"/>
  <c r="D11" i="13" s="1"/>
  <c r="E11" i="13" s="1"/>
  <c r="F11" i="13" s="1"/>
  <c r="S38" i="9"/>
  <c r="U37" i="9"/>
  <c r="S37" i="9"/>
  <c r="U36" i="9"/>
  <c r="S36" i="9"/>
  <c r="U35" i="9"/>
  <c r="S35" i="9"/>
  <c r="U34" i="9"/>
  <c r="S34" i="9"/>
  <c r="U33" i="9"/>
  <c r="S33" i="9"/>
  <c r="N33" i="9"/>
  <c r="U32" i="9"/>
  <c r="S32" i="9"/>
  <c r="P32" i="9"/>
  <c r="N32" i="9"/>
  <c r="U31" i="9"/>
  <c r="S31" i="9"/>
  <c r="P31" i="9"/>
  <c r="N31" i="9"/>
  <c r="U30" i="9"/>
  <c r="S30" i="9"/>
  <c r="P30" i="9"/>
  <c r="N30" i="9"/>
  <c r="U29" i="9"/>
  <c r="S29" i="9"/>
  <c r="P29" i="9"/>
  <c r="N29" i="9"/>
  <c r="U28" i="9"/>
  <c r="S28" i="9"/>
  <c r="P28" i="9"/>
  <c r="N28" i="9"/>
  <c r="I28" i="9"/>
  <c r="F28" i="9"/>
  <c r="U27" i="9"/>
  <c r="S27" i="9"/>
  <c r="P27" i="9"/>
  <c r="N27" i="9"/>
  <c r="K27" i="9"/>
  <c r="I27" i="9"/>
  <c r="F27" i="9"/>
  <c r="U26" i="9"/>
  <c r="S26" i="9"/>
  <c r="P26" i="9"/>
  <c r="N26" i="9"/>
  <c r="K26" i="9"/>
  <c r="I26" i="9"/>
  <c r="F26" i="9"/>
  <c r="U25" i="9"/>
  <c r="S25" i="9"/>
  <c r="P25" i="9"/>
  <c r="N25" i="9"/>
  <c r="K25" i="9"/>
  <c r="I25" i="9"/>
  <c r="F25" i="9"/>
  <c r="U24" i="9"/>
  <c r="S24" i="9"/>
  <c r="P24" i="9"/>
  <c r="N24" i="9"/>
  <c r="K24" i="9"/>
  <c r="I24" i="9"/>
  <c r="F24" i="9"/>
  <c r="U23" i="9"/>
  <c r="S23" i="9"/>
  <c r="P23" i="9"/>
  <c r="N23" i="9"/>
  <c r="K23" i="9"/>
  <c r="I23" i="9"/>
  <c r="F23" i="9"/>
  <c r="U22" i="9"/>
  <c r="S22" i="9"/>
  <c r="P22" i="9"/>
  <c r="N22" i="9"/>
  <c r="K22" i="9"/>
  <c r="I22" i="9"/>
  <c r="F22" i="9"/>
  <c r="U21" i="9"/>
  <c r="S21" i="9"/>
  <c r="P21" i="9"/>
  <c r="N21" i="9"/>
  <c r="K21" i="9"/>
  <c r="I21" i="9"/>
  <c r="F21" i="9"/>
  <c r="U20" i="9"/>
  <c r="S20" i="9"/>
  <c r="P20" i="9"/>
  <c r="N20" i="9"/>
  <c r="K20" i="9"/>
  <c r="I20" i="9"/>
  <c r="F20" i="9"/>
  <c r="U19" i="9"/>
  <c r="S19" i="9"/>
  <c r="P19" i="9"/>
  <c r="N19" i="9"/>
  <c r="K19" i="9"/>
  <c r="I19" i="9"/>
  <c r="F19" i="9"/>
  <c r="U18" i="9"/>
  <c r="S18" i="9"/>
  <c r="P18" i="9"/>
  <c r="N18" i="9"/>
  <c r="K18" i="9"/>
  <c r="I18" i="9"/>
  <c r="F18" i="9"/>
  <c r="C18" i="9"/>
  <c r="U17" i="9"/>
  <c r="S17" i="9"/>
  <c r="P17" i="9"/>
  <c r="N17" i="9"/>
  <c r="I17" i="9"/>
  <c r="F17" i="9"/>
  <c r="C17" i="9"/>
  <c r="U16" i="9"/>
  <c r="S16" i="9"/>
  <c r="P16" i="9"/>
  <c r="N16" i="9"/>
  <c r="K16" i="9"/>
  <c r="I16" i="9"/>
  <c r="F16" i="9"/>
  <c r="C16" i="9"/>
  <c r="U15" i="9"/>
  <c r="S15" i="9"/>
  <c r="P15" i="9"/>
  <c r="N15" i="9"/>
  <c r="K15" i="9"/>
  <c r="I15" i="9"/>
  <c r="F15" i="9"/>
  <c r="C15" i="9"/>
  <c r="U14" i="9"/>
  <c r="S14" i="9"/>
  <c r="P14" i="9"/>
  <c r="N14" i="9"/>
  <c r="K14" i="9"/>
  <c r="I14" i="9"/>
  <c r="F14" i="9"/>
  <c r="C14" i="9"/>
  <c r="U13" i="9"/>
  <c r="S13" i="9"/>
  <c r="P13" i="9"/>
  <c r="N13" i="9"/>
  <c r="K13" i="9"/>
  <c r="I13" i="9"/>
  <c r="F13" i="9"/>
  <c r="C13" i="9"/>
  <c r="U12" i="9"/>
  <c r="S12" i="9"/>
  <c r="P12" i="9"/>
  <c r="N12" i="9"/>
  <c r="K12" i="9"/>
  <c r="I12" i="9"/>
  <c r="F12" i="9"/>
  <c r="C12" i="9"/>
  <c r="U11" i="9"/>
  <c r="S11" i="9"/>
  <c r="P11" i="9"/>
  <c r="N11" i="9"/>
  <c r="K11" i="9"/>
  <c r="I11" i="9"/>
  <c r="F11" i="9"/>
  <c r="C11" i="9"/>
  <c r="U10" i="9"/>
  <c r="S10" i="9"/>
  <c r="P10" i="9"/>
  <c r="N10" i="9"/>
  <c r="K10" i="9"/>
  <c r="I10" i="9"/>
  <c r="F10" i="9"/>
  <c r="E10" i="9"/>
  <c r="E11" i="9" s="1"/>
  <c r="E12" i="9" s="1"/>
  <c r="E13" i="9" s="1"/>
  <c r="E14" i="9" s="1"/>
  <c r="E15" i="9" s="1"/>
  <c r="E16" i="9" s="1"/>
  <c r="E17" i="9" s="1"/>
  <c r="E18" i="9" s="1"/>
  <c r="E19" i="9" s="1"/>
  <c r="E20" i="9" s="1"/>
  <c r="E21" i="9" s="1"/>
  <c r="E22" i="9" s="1"/>
  <c r="E23" i="9" s="1"/>
  <c r="E24" i="9" s="1"/>
  <c r="E25" i="9" s="1"/>
  <c r="E26" i="9" s="1"/>
  <c r="E27" i="9" s="1"/>
  <c r="E28" i="9" s="1"/>
  <c r="B10" i="9"/>
  <c r="B11" i="9" s="1"/>
  <c r="B12" i="9" s="1"/>
  <c r="B13" i="9" s="1"/>
  <c r="B14" i="9" s="1"/>
  <c r="B15" i="9" s="1"/>
  <c r="B16" i="9" s="1"/>
  <c r="B17" i="9" s="1"/>
  <c r="B18" i="9" s="1"/>
  <c r="B8" i="9" s="1"/>
  <c r="U9" i="9"/>
  <c r="S9" i="9"/>
  <c r="R9" i="9"/>
  <c r="R10" i="9" s="1"/>
  <c r="R11" i="9" s="1"/>
  <c r="R12" i="9" s="1"/>
  <c r="R13" i="9" s="1"/>
  <c r="R14" i="9" s="1"/>
  <c r="R15" i="9" s="1"/>
  <c r="R16" i="9" s="1"/>
  <c r="R17" i="9" s="1"/>
  <c r="R18" i="9" s="1"/>
  <c r="R19" i="9" s="1"/>
  <c r="R20" i="9" s="1"/>
  <c r="R21" i="9" s="1"/>
  <c r="R22" i="9" s="1"/>
  <c r="R23" i="9" s="1"/>
  <c r="R24" i="9" s="1"/>
  <c r="R25" i="9" s="1"/>
  <c r="R26" i="9" s="1"/>
  <c r="R27" i="9" s="1"/>
  <c r="R28" i="9" s="1"/>
  <c r="R29" i="9" s="1"/>
  <c r="R30" i="9" s="1"/>
  <c r="R31" i="9" s="1"/>
  <c r="R32" i="9" s="1"/>
  <c r="R33" i="9" s="1"/>
  <c r="R34" i="9" s="1"/>
  <c r="R35" i="9" s="1"/>
  <c r="R36" i="9" s="1"/>
  <c r="R37" i="9" s="1"/>
  <c r="R38" i="9" s="1"/>
  <c r="T9" i="9" s="1"/>
  <c r="T10" i="9" s="1"/>
  <c r="T11" i="9" s="1"/>
  <c r="T12" i="9" s="1"/>
  <c r="T13" i="9" s="1"/>
  <c r="T14" i="9" s="1"/>
  <c r="T15" i="9" s="1"/>
  <c r="T16" i="9" s="1"/>
  <c r="T17" i="9" s="1"/>
  <c r="T18" i="9" s="1"/>
  <c r="T19" i="9" s="1"/>
  <c r="T20" i="9" s="1"/>
  <c r="T21" i="9" s="1"/>
  <c r="T22" i="9" s="1"/>
  <c r="T23" i="9" s="1"/>
  <c r="T24" i="9" s="1"/>
  <c r="T25" i="9" s="1"/>
  <c r="T26" i="9" s="1"/>
  <c r="T27" i="9" s="1"/>
  <c r="T28" i="9" s="1"/>
  <c r="T29" i="9" s="1"/>
  <c r="T30" i="9" s="1"/>
  <c r="T31" i="9" s="1"/>
  <c r="T32" i="9" s="1"/>
  <c r="T33" i="9" s="1"/>
  <c r="T34" i="9" s="1"/>
  <c r="T35" i="9" s="1"/>
  <c r="T36" i="9" s="1"/>
  <c r="T37" i="9" s="1"/>
  <c r="T7" i="9" s="1"/>
  <c r="P9" i="9"/>
  <c r="N9" i="9"/>
  <c r="M9" i="9"/>
  <c r="M10" i="9" s="1"/>
  <c r="M11" i="9" s="1"/>
  <c r="M12" i="9" s="1"/>
  <c r="M13" i="9" s="1"/>
  <c r="M14" i="9" s="1"/>
  <c r="M15" i="9" s="1"/>
  <c r="M16" i="9" s="1"/>
  <c r="M17" i="9" s="1"/>
  <c r="M18" i="9" s="1"/>
  <c r="M19" i="9" s="1"/>
  <c r="M20" i="9" s="1"/>
  <c r="M21" i="9" s="1"/>
  <c r="M22" i="9" s="1"/>
  <c r="M23" i="9" s="1"/>
  <c r="M24" i="9" s="1"/>
  <c r="M25" i="9" s="1"/>
  <c r="M26" i="9" s="1"/>
  <c r="M27" i="9" s="1"/>
  <c r="M28" i="9" s="1"/>
  <c r="M29" i="9" s="1"/>
  <c r="M30" i="9" s="1"/>
  <c r="M31" i="9" s="1"/>
  <c r="M32" i="9" s="1"/>
  <c r="M33" i="9" s="1"/>
  <c r="O9" i="9" s="1"/>
  <c r="O10" i="9" s="1"/>
  <c r="O11" i="9" s="1"/>
  <c r="O12" i="9" s="1"/>
  <c r="O13" i="9" s="1"/>
  <c r="O14" i="9" s="1"/>
  <c r="O15" i="9" s="1"/>
  <c r="O16" i="9" s="1"/>
  <c r="O17" i="9" s="1"/>
  <c r="O18" i="9" s="1"/>
  <c r="O19" i="9" s="1"/>
  <c r="O20" i="9" s="1"/>
  <c r="O21" i="9" s="1"/>
  <c r="O22" i="9" s="1"/>
  <c r="O23" i="9" s="1"/>
  <c r="O24" i="9" s="1"/>
  <c r="O25" i="9" s="1"/>
  <c r="O26" i="9" s="1"/>
  <c r="O27" i="9" s="1"/>
  <c r="O28" i="9" s="1"/>
  <c r="O29" i="9" s="1"/>
  <c r="O30" i="9" s="1"/>
  <c r="O31" i="9" s="1"/>
  <c r="O32" i="9" s="1"/>
  <c r="O7" i="9" s="1"/>
  <c r="K9" i="9"/>
  <c r="I9" i="9"/>
  <c r="H9" i="9"/>
  <c r="H10" i="9" s="1"/>
  <c r="H11" i="9" s="1"/>
  <c r="H12" i="9" s="1"/>
  <c r="H13" i="9" s="1"/>
  <c r="H14" i="9" s="1"/>
  <c r="H15" i="9" s="1"/>
  <c r="H16" i="9" s="1"/>
  <c r="H17" i="9" s="1"/>
  <c r="H18" i="9" s="1"/>
  <c r="H19" i="9" s="1"/>
  <c r="H20" i="9" s="1"/>
  <c r="H21" i="9" s="1"/>
  <c r="H22" i="9" s="1"/>
  <c r="H23" i="9" s="1"/>
  <c r="H24" i="9" s="1"/>
  <c r="H25" i="9" s="1"/>
  <c r="H26" i="9" s="1"/>
  <c r="H27" i="9" s="1"/>
  <c r="H28" i="9" s="1"/>
  <c r="J9" i="9" s="1"/>
  <c r="J10" i="9" s="1"/>
  <c r="J11" i="9" s="1"/>
  <c r="J12" i="9" s="1"/>
  <c r="J13" i="9" s="1"/>
  <c r="J14" i="9" s="1"/>
  <c r="J15" i="9" s="1"/>
  <c r="J16" i="9" s="1"/>
  <c r="J17" i="9" s="1"/>
  <c r="J18" i="9" s="1"/>
  <c r="J19" i="9" s="1"/>
  <c r="J20" i="9" s="1"/>
  <c r="J21" i="9" s="1"/>
  <c r="J22" i="9" s="1"/>
  <c r="J23" i="9" s="1"/>
  <c r="J24" i="9" s="1"/>
  <c r="J25" i="9" s="1"/>
  <c r="J26" i="9" s="1"/>
  <c r="J27" i="9" s="1"/>
  <c r="J7" i="9" s="1"/>
  <c r="C32" i="13"/>
  <c r="C36" i="25" l="1"/>
  <c r="D35" i="25"/>
  <c r="H35" i="25" s="1"/>
  <c r="G35" i="25"/>
  <c r="L27" i="13"/>
  <c r="J16" i="13"/>
  <c r="L13" i="13"/>
  <c r="M13" i="13" s="1"/>
  <c r="N13" i="13" s="1"/>
  <c r="N16" i="13" s="1"/>
  <c r="D13" i="13"/>
  <c r="D32" i="13"/>
  <c r="E29" i="13"/>
  <c r="E32" i="13" s="1"/>
  <c r="C37" i="25" l="1"/>
  <c r="G36" i="25"/>
  <c r="D36" i="25"/>
  <c r="H36" i="25" s="1"/>
  <c r="M27" i="13"/>
  <c r="L16" i="13"/>
  <c r="M16" i="13"/>
  <c r="E13" i="13"/>
  <c r="D16" i="13"/>
  <c r="C38" i="25" l="1"/>
  <c r="G37" i="25"/>
  <c r="D37" i="25"/>
  <c r="H37" i="25" s="1"/>
  <c r="N27" i="13"/>
  <c r="F13" i="13"/>
  <c r="F16" i="13" s="1"/>
  <c r="E16" i="13"/>
  <c r="D38" i="25" l="1"/>
  <c r="H38" i="25" s="1"/>
  <c r="G38" i="25"/>
  <c r="C39" i="25"/>
  <c r="O27" i="13"/>
  <c r="N29" i="13"/>
  <c r="N32" i="13" s="1"/>
  <c r="G39" i="25" l="1"/>
  <c r="D39" i="25"/>
  <c r="H39" i="25" s="1"/>
  <c r="K29" i="13"/>
  <c r="K32" i="13" s="1"/>
  <c r="L29" i="13"/>
  <c r="L32" i="13" s="1"/>
  <c r="M29" i="13"/>
  <c r="M32" i="1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<sst xmlns="http://schemas.openxmlformats.org/spreadsheetml/2006/main" count="1924" uniqueCount="817">
  <si>
    <t>Chain sling weight calculator</t>
  </si>
  <si>
    <t>mm</t>
  </si>
  <si>
    <t>Weight</t>
  </si>
  <si>
    <t>12t</t>
  </si>
  <si>
    <t>15t</t>
  </si>
  <si>
    <t>25t</t>
  </si>
  <si>
    <t>35t</t>
  </si>
  <si>
    <t>40t</t>
  </si>
  <si>
    <t>55t</t>
  </si>
  <si>
    <t>Large ring</t>
  </si>
  <si>
    <t>Wt</t>
  </si>
  <si>
    <t>Chain</t>
  </si>
  <si>
    <t>Wt/m</t>
  </si>
  <si>
    <t>Head ring</t>
  </si>
  <si>
    <t>Shorteners</t>
  </si>
  <si>
    <t>2 Leg Chains</t>
  </si>
  <si>
    <t>Single Leg Chains</t>
  </si>
  <si>
    <t>8mm x 6m</t>
  </si>
  <si>
    <t>20mm x 6m</t>
  </si>
  <si>
    <t>Latchloks</t>
  </si>
  <si>
    <t>8mm x 8m</t>
  </si>
  <si>
    <t>20mm x 8m</t>
  </si>
  <si>
    <t>10mm x 6m</t>
  </si>
  <si>
    <t>20mm x 10m</t>
  </si>
  <si>
    <t>10mm x 8m</t>
  </si>
  <si>
    <t>22mm x 6m</t>
  </si>
  <si>
    <t>13mm x 6m</t>
  </si>
  <si>
    <t>22mm x 8m</t>
  </si>
  <si>
    <t>Sling length</t>
  </si>
  <si>
    <t>13mm x 8m</t>
  </si>
  <si>
    <t>22mm x 10m</t>
  </si>
  <si>
    <t>Eye length</t>
  </si>
  <si>
    <t>13mm x 10m</t>
  </si>
  <si>
    <t>26mm x 6m</t>
  </si>
  <si>
    <t>16mm x 6m</t>
  </si>
  <si>
    <t>26mm x 8m</t>
  </si>
  <si>
    <t>H/Loks</t>
  </si>
  <si>
    <t>Sling diameter</t>
  </si>
  <si>
    <t>16mm x 8m</t>
  </si>
  <si>
    <t>26mm x 10m</t>
  </si>
  <si>
    <t>16mm x 10m</t>
  </si>
  <si>
    <t>32mm x 6m</t>
  </si>
  <si>
    <t>kgs</t>
  </si>
  <si>
    <t>32mm x 8m</t>
  </si>
  <si>
    <t>Line pull</t>
  </si>
  <si>
    <t>32mm x 10m</t>
  </si>
  <si>
    <t>Kn</t>
  </si>
  <si>
    <t>Kgs</t>
  </si>
  <si>
    <t>Kg / metre</t>
  </si>
  <si>
    <t>kg</t>
  </si>
  <si>
    <t>m</t>
  </si>
  <si>
    <t>Sling weight</t>
  </si>
  <si>
    <t>SWL</t>
  </si>
  <si>
    <t>Dia.</t>
  </si>
  <si>
    <t>Length</t>
  </si>
  <si>
    <t>6.5t</t>
  </si>
  <si>
    <t>8.5t</t>
  </si>
  <si>
    <t>9.5t</t>
  </si>
  <si>
    <t>75t</t>
  </si>
  <si>
    <t>125t</t>
  </si>
  <si>
    <t>13.5t</t>
  </si>
  <si>
    <t>150t</t>
  </si>
  <si>
    <t>17t</t>
  </si>
  <si>
    <t>200t</t>
  </si>
  <si>
    <t>250t</t>
  </si>
  <si>
    <t>42.5t</t>
  </si>
  <si>
    <t>Oblongs</t>
  </si>
  <si>
    <t>85t</t>
  </si>
  <si>
    <t>120t</t>
  </si>
  <si>
    <t>Load share calculator</t>
  </si>
  <si>
    <t>Total weight?</t>
  </si>
  <si>
    <t>Distance A?</t>
  </si>
  <si>
    <t>(From lift point 1 to centre of gravity)</t>
  </si>
  <si>
    <t>Distance B?</t>
  </si>
  <si>
    <t>Load at Point 1</t>
  </si>
  <si>
    <t>Load at Point 2</t>
  </si>
  <si>
    <t>Lift and tail loads calculator</t>
  </si>
  <si>
    <t>Crane 1</t>
  </si>
  <si>
    <t>Crane 2</t>
  </si>
  <si>
    <t>Rigging</t>
  </si>
  <si>
    <t>Load weight</t>
  </si>
  <si>
    <t>Total</t>
  </si>
  <si>
    <t>RESULTS</t>
  </si>
  <si>
    <t>Angle</t>
  </si>
  <si>
    <t>LIFT LOAD</t>
  </si>
  <si>
    <t>TAIL LOAD</t>
  </si>
  <si>
    <t>Required SWL</t>
  </si>
  <si>
    <t>(1)</t>
  </si>
  <si>
    <t>(2)</t>
  </si>
  <si>
    <t>(3)</t>
  </si>
  <si>
    <t>sin</t>
  </si>
  <si>
    <t>cos</t>
  </si>
  <si>
    <t>of load</t>
  </si>
  <si>
    <t>(with 20% added)</t>
  </si>
  <si>
    <t>Liebherr LTM 1220-5.1</t>
  </si>
  <si>
    <t>Parts</t>
  </si>
  <si>
    <t>LTM 1250-6.1</t>
  </si>
  <si>
    <t>GT600</t>
  </si>
  <si>
    <t>ATF 65</t>
  </si>
  <si>
    <t>GR700</t>
  </si>
  <si>
    <t>GR800</t>
  </si>
  <si>
    <t>ATF 110</t>
  </si>
  <si>
    <t>ATF 130</t>
  </si>
  <si>
    <t>GR1450</t>
  </si>
  <si>
    <t>ATF 220</t>
  </si>
  <si>
    <t>ATF 400</t>
  </si>
  <si>
    <t>GMK5220</t>
  </si>
  <si>
    <t>GMK5250</t>
  </si>
  <si>
    <t>AC160-5</t>
  </si>
  <si>
    <t>AC200-1</t>
  </si>
  <si>
    <t>AC300-6</t>
  </si>
  <si>
    <t>Franna</t>
  </si>
  <si>
    <t>AT15</t>
  </si>
  <si>
    <t>AT20</t>
  </si>
  <si>
    <t>MAC 25</t>
  </si>
  <si>
    <t>Rope dia</t>
  </si>
  <si>
    <t>Kg / mtr</t>
  </si>
  <si>
    <t>Sheaves</t>
  </si>
  <si>
    <t>Max. reeving</t>
  </si>
  <si>
    <t>-</t>
  </si>
  <si>
    <t>LTM 1040-2.1</t>
  </si>
  <si>
    <t>LTM 1055-3.2</t>
  </si>
  <si>
    <t>LTM 1070-4.2</t>
  </si>
  <si>
    <t>LTM 1090-4.1</t>
  </si>
  <si>
    <t>LTM 1130-5.1</t>
  </si>
  <si>
    <t>LTM 1150-6.1</t>
  </si>
  <si>
    <t>LTM 1200-5.1</t>
  </si>
  <si>
    <t>LTM 1300-6.2</t>
  </si>
  <si>
    <t>LTM 1350-6.1</t>
  </si>
  <si>
    <t>LTM 1400-7.1</t>
  </si>
  <si>
    <t>LTM 1500-8.1</t>
  </si>
  <si>
    <t>LTM 1750-9.1</t>
  </si>
  <si>
    <t>LG 1750</t>
  </si>
  <si>
    <t>LR1600</t>
  </si>
  <si>
    <t>13mm</t>
  </si>
  <si>
    <t>15mm</t>
  </si>
  <si>
    <t>17mm</t>
  </si>
  <si>
    <t>LTM 1100-5.2</t>
  </si>
  <si>
    <t>21mm</t>
  </si>
  <si>
    <t>LTM 1160</t>
  </si>
  <si>
    <t>25mm</t>
  </si>
  <si>
    <t>23mm</t>
  </si>
  <si>
    <t>28mm</t>
  </si>
  <si>
    <t>2 x 11</t>
  </si>
  <si>
    <t>2 x 22</t>
  </si>
  <si>
    <t>1 x 11</t>
  </si>
  <si>
    <t>1 x 23</t>
  </si>
  <si>
    <t>2 x 7</t>
  </si>
  <si>
    <t>2 x 14</t>
  </si>
  <si>
    <t>1 x 7</t>
  </si>
  <si>
    <t>1 x 15</t>
  </si>
  <si>
    <t>Reeving factor</t>
  </si>
  <si>
    <t>Rope dia. mm</t>
  </si>
  <si>
    <t>Calculate min. hook weight</t>
  </si>
  <si>
    <t>Boom + jib m</t>
  </si>
  <si>
    <t>Overall length</t>
  </si>
  <si>
    <t>Rope weight kgs</t>
  </si>
  <si>
    <t>Reeving</t>
  </si>
  <si>
    <t>Hook weight</t>
  </si>
  <si>
    <t>Linear interpolation of load chart over 1m</t>
  </si>
  <si>
    <t>Linear interpolation of load chart over 2m</t>
  </si>
  <si>
    <t>Linear interpolation of load chart over 4m</t>
  </si>
  <si>
    <t>Linear interpolation of load chart over 5m</t>
  </si>
  <si>
    <t>Linear interpolation of load chart over 6m</t>
  </si>
  <si>
    <t>Maximum allowable wind speed calculation</t>
  </si>
  <si>
    <t>Crane Details</t>
  </si>
  <si>
    <t>Wind Speed Calculations</t>
  </si>
  <si>
    <t>Max Projected Surface Area (m2)</t>
  </si>
  <si>
    <t>Crane Configuration</t>
  </si>
  <si>
    <t>Load Weight (t)</t>
  </si>
  <si>
    <t>Main boom length (m)</t>
  </si>
  <si>
    <t>Coefficient of Resistance</t>
  </si>
  <si>
    <t>Counterweight (t)</t>
  </si>
  <si>
    <t>Surface Area Exposed to Wind (m2)</t>
  </si>
  <si>
    <t>OEM load chart max wind speed</t>
  </si>
  <si>
    <t>Calculated Max Wind Speed (m/s)</t>
  </si>
  <si>
    <t>Maximum Allowable Wind Speed</t>
  </si>
  <si>
    <t>m/sec</t>
  </si>
  <si>
    <t xml:space="preserve">Maximum Allowable Wind Speed </t>
  </si>
  <si>
    <t>kph</t>
  </si>
  <si>
    <t xml:space="preserve">Use this graphic to decide the value for Coefficient of Resistance. </t>
  </si>
  <si>
    <t>The value is dependent on how "square" a load is</t>
  </si>
  <si>
    <t>A flat rectangular load would be more towards 1.1. A square load would be more towards 2</t>
  </si>
  <si>
    <t>A round load would likewise vary from 0.6 to 1. Depending on how "square" it is, given height and width</t>
  </si>
  <si>
    <t>For example;</t>
  </si>
  <si>
    <t>A shipping container would be around 1.3 or 1.4</t>
  </si>
  <si>
    <t>A long narrow formwork shutter would be around 1.1</t>
  </si>
  <si>
    <t>A large square formwork shutter would be 2</t>
  </si>
  <si>
    <t>A tall skinny tank would be 0.6</t>
  </si>
  <si>
    <t>A squat, fat tank would be 1</t>
  </si>
  <si>
    <t xml:space="preserve">Generally, the lighter a load is, the lower the allowable wind speed will be. </t>
  </si>
  <si>
    <t>Minimum hook weight calculator</t>
  </si>
  <si>
    <t>Boom / Jib length (m)</t>
  </si>
  <si>
    <t>Rope weight</t>
  </si>
  <si>
    <t>Factor</t>
  </si>
  <si>
    <t>Reeving Factor</t>
  </si>
  <si>
    <t>Min hook weight</t>
  </si>
  <si>
    <t xml:space="preserve">Reeving </t>
  </si>
  <si>
    <t xml:space="preserve"> </t>
  </si>
  <si>
    <t>Distance C?</t>
  </si>
  <si>
    <t>Distance D?</t>
  </si>
  <si>
    <t xml:space="preserve">Distance E? </t>
  </si>
  <si>
    <t>Sling 1 length</t>
  </si>
  <si>
    <t>Sling 2 length</t>
  </si>
  <si>
    <t>Sling 1 tension</t>
  </si>
  <si>
    <t>Sling 2 tension</t>
  </si>
  <si>
    <t>Sling 1 angle</t>
  </si>
  <si>
    <t>degrees</t>
  </si>
  <si>
    <t>Sling 2 angle</t>
  </si>
  <si>
    <t>Load at Point 3</t>
  </si>
  <si>
    <t>Load at Point 4</t>
  </si>
  <si>
    <t>Sling 3 length</t>
  </si>
  <si>
    <t>Sling 4 length</t>
  </si>
  <si>
    <t>Sling 3 tension</t>
  </si>
  <si>
    <t>Sling 4 tension</t>
  </si>
  <si>
    <t>Sling 3 angle</t>
  </si>
  <si>
    <t>Sling 4 angle</t>
  </si>
  <si>
    <t>CC8800</t>
  </si>
  <si>
    <t>Total lifted weight</t>
  </si>
  <si>
    <t>Kobelco SL6000</t>
  </si>
  <si>
    <t>235 upper CWT / 0t lower CWT</t>
  </si>
  <si>
    <t>126m boom</t>
  </si>
  <si>
    <t>45m RADIUS</t>
  </si>
  <si>
    <t>SL CWT</t>
  </si>
  <si>
    <t>CAPACITY</t>
  </si>
  <si>
    <t xml:space="preserve">INTERPOLATION OF SUPERLIFT COUNTERWEIGHT </t>
  </si>
  <si>
    <t>CC2200</t>
  </si>
  <si>
    <t>Total lifted weight (t)</t>
  </si>
  <si>
    <t>CC2500-1</t>
  </si>
  <si>
    <t>140 upper CWT / 40t lower CWT</t>
  </si>
  <si>
    <t>160 upper CWT / 40t lower CWT</t>
  </si>
  <si>
    <t>72m boom + 12m jib at 10 deg.</t>
  </si>
  <si>
    <t>72m boom</t>
  </si>
  <si>
    <t>70m RADIUS</t>
  </si>
  <si>
    <t>56.8m RADIUS</t>
  </si>
  <si>
    <t>From      chart</t>
  </si>
  <si>
    <t>Intermediate SL CWT amounts</t>
  </si>
  <si>
    <t>Interpolated capacities</t>
  </si>
  <si>
    <t>LTM 1650-8.1</t>
  </si>
  <si>
    <t>Make &amp; Model</t>
  </si>
  <si>
    <t>Is Calculated Max more than OEM max?</t>
  </si>
  <si>
    <t>LTM 1120-4.1</t>
  </si>
  <si>
    <t>.-</t>
  </si>
  <si>
    <t>LTM 1150-5.3</t>
  </si>
  <si>
    <t>LTR 1220</t>
  </si>
  <si>
    <t>AC 250-5</t>
  </si>
  <si>
    <t>63 ram</t>
  </si>
  <si>
    <t>63 c</t>
  </si>
  <si>
    <t>ATF 120</t>
  </si>
  <si>
    <t>AC 7.450-1</t>
  </si>
  <si>
    <t>GMK5100</t>
  </si>
  <si>
    <t>GMK6220-L</t>
  </si>
  <si>
    <t>Liebherr LTM 1230-5.1</t>
  </si>
  <si>
    <t>SCX2800-2</t>
  </si>
  <si>
    <t>GMK6300-L</t>
  </si>
  <si>
    <t>GMK5150L</t>
  </si>
  <si>
    <t>LR 1280</t>
  </si>
  <si>
    <t>LR1280</t>
  </si>
  <si>
    <t>1055-3.2</t>
  </si>
  <si>
    <t>1040-2.1</t>
  </si>
  <si>
    <t>1070-4.2</t>
  </si>
  <si>
    <t>1090-4.1</t>
  </si>
  <si>
    <t>1100-5.2</t>
  </si>
  <si>
    <t>1120-4.1</t>
  </si>
  <si>
    <t>1130-5.1</t>
  </si>
  <si>
    <t>1150-5.3</t>
  </si>
  <si>
    <t>1150-6.1</t>
  </si>
  <si>
    <t>1200-5.1</t>
  </si>
  <si>
    <t>1230-5.1</t>
  </si>
  <si>
    <t>1250-5.1</t>
  </si>
  <si>
    <t>1250-6.1</t>
  </si>
  <si>
    <t>1300-6.2</t>
  </si>
  <si>
    <t>1350-6.1</t>
  </si>
  <si>
    <t>1400-7.1</t>
  </si>
  <si>
    <t>1500-8.1</t>
  </si>
  <si>
    <t>1650-8.1</t>
  </si>
  <si>
    <t>1750-9.1</t>
  </si>
  <si>
    <t>ALL LTM's</t>
  </si>
  <si>
    <t>AC 80-2</t>
  </si>
  <si>
    <t>Liebherr LTM 1250-5.1</t>
  </si>
  <si>
    <t>GMK6400</t>
  </si>
  <si>
    <t>LTM 1110-5.1</t>
  </si>
  <si>
    <t>19mm</t>
  </si>
  <si>
    <t>1110-5.1</t>
  </si>
  <si>
    <t>GMK4100</t>
  </si>
  <si>
    <t>HA</t>
  </si>
  <si>
    <t>AC 130-5</t>
  </si>
  <si>
    <t>AC 100-4</t>
  </si>
  <si>
    <t>LRT 1100-2.1</t>
  </si>
  <si>
    <t>AC220-5</t>
  </si>
  <si>
    <t>LTM 1090-4.2</t>
  </si>
  <si>
    <t>kg / m</t>
  </si>
  <si>
    <t>Falls</t>
  </si>
  <si>
    <t>1160-5.1</t>
  </si>
  <si>
    <t>1160-5.2</t>
  </si>
  <si>
    <t>Total length of boom plus any jib</t>
  </si>
  <si>
    <t>Loss factor per fall</t>
  </si>
  <si>
    <t>Rigging weights</t>
  </si>
  <si>
    <t>Home</t>
  </si>
  <si>
    <t>Typical Chain Sling Weights (kgs)                                                                                      2 leg chains with 2 shorteners on head ring                                                          Single leg chains without shorteners</t>
  </si>
  <si>
    <t>Common soft round sling weights</t>
  </si>
  <si>
    <t>Chain dia.</t>
  </si>
  <si>
    <t>10t 4m</t>
  </si>
  <si>
    <t>Wire slings</t>
  </si>
  <si>
    <t>Soft slings</t>
  </si>
  <si>
    <t>Standard bow w / safety bolt</t>
  </si>
  <si>
    <t>Sling shackles w / safety bolt</t>
  </si>
  <si>
    <t>10t 6m</t>
  </si>
  <si>
    <t>Hammerloks</t>
  </si>
  <si>
    <t>10t 9m</t>
  </si>
  <si>
    <t>15t 4m</t>
  </si>
  <si>
    <t>Total chain length</t>
  </si>
  <si>
    <t>15t 6m</t>
  </si>
  <si>
    <t>15t 9m</t>
  </si>
  <si>
    <t>Chain sling weight</t>
  </si>
  <si>
    <t>20t 4m</t>
  </si>
  <si>
    <t>20t 6m</t>
  </si>
  <si>
    <t>20t 9m</t>
  </si>
  <si>
    <t xml:space="preserve">Wire sling weight calculator </t>
  </si>
  <si>
    <t>30t 4m</t>
  </si>
  <si>
    <t>30t 6m</t>
  </si>
  <si>
    <t>Super shackles w / safety bolt</t>
  </si>
  <si>
    <t>30t 9m</t>
  </si>
  <si>
    <t>40t 4m</t>
  </si>
  <si>
    <t>7t</t>
  </si>
  <si>
    <t>40t 6m</t>
  </si>
  <si>
    <t>40t 9m</t>
  </si>
  <si>
    <t>12.5t</t>
  </si>
  <si>
    <t>50t 4m</t>
  </si>
  <si>
    <t>50t 6m</t>
  </si>
  <si>
    <t>Soft  sling weight calculator</t>
  </si>
  <si>
    <t>18t</t>
  </si>
  <si>
    <t>50t 9m</t>
  </si>
  <si>
    <t>t</t>
  </si>
  <si>
    <t>21t</t>
  </si>
  <si>
    <t>60t 4m</t>
  </si>
  <si>
    <t>30t</t>
  </si>
  <si>
    <t>60t 6m</t>
  </si>
  <si>
    <t>Soft sling weight</t>
  </si>
  <si>
    <t>60t 9m</t>
  </si>
  <si>
    <t>80t 4m</t>
  </si>
  <si>
    <t>80t 6m</t>
  </si>
  <si>
    <t>80t 9m</t>
  </si>
  <si>
    <t>150t*</t>
  </si>
  <si>
    <t>100t 4m</t>
  </si>
  <si>
    <t>175t*</t>
  </si>
  <si>
    <t>100t 6m</t>
  </si>
  <si>
    <t>*  Round headed bolt</t>
  </si>
  <si>
    <t>100t 9m</t>
  </si>
  <si>
    <t>Rigging calculators</t>
  </si>
  <si>
    <t>Chain SWL</t>
  </si>
  <si>
    <t>Single leg</t>
  </si>
  <si>
    <t>2, 3 or 4 legs</t>
  </si>
  <si>
    <t>Grade</t>
  </si>
  <si>
    <t>chains</t>
  </si>
  <si>
    <t>Single leg chains</t>
  </si>
  <si>
    <t>2 legs</t>
  </si>
  <si>
    <t>Direct loaded</t>
  </si>
  <si>
    <t>Direct loaded 0 to 60°</t>
  </si>
  <si>
    <t>Chain grade</t>
  </si>
  <si>
    <t>Wire sling dia.</t>
  </si>
  <si>
    <t>Chain sling makeup</t>
  </si>
  <si>
    <t>Single</t>
  </si>
  <si>
    <t>2 or more</t>
  </si>
  <si>
    <t>Choke hitch - round</t>
  </si>
  <si>
    <t>Direct loaded 90°</t>
  </si>
  <si>
    <t>Straight</t>
  </si>
  <si>
    <t>Straight 60°</t>
  </si>
  <si>
    <t>2 leg basket</t>
  </si>
  <si>
    <t>legs</t>
  </si>
  <si>
    <t>Choke hitch - rectangular</t>
  </si>
  <si>
    <t>Direct loaded 120°</t>
  </si>
  <si>
    <t>Reeved</t>
  </si>
  <si>
    <t>Straight 90°</t>
  </si>
  <si>
    <t xml:space="preserve">in a </t>
  </si>
  <si>
    <t>config.</t>
  </si>
  <si>
    <t>Basket hitch - round 60°</t>
  </si>
  <si>
    <t>Choke hitch - round 0 to 45°</t>
  </si>
  <si>
    <t>Basket - max 60°</t>
  </si>
  <si>
    <t>Straight 120°</t>
  </si>
  <si>
    <t>The SWL is</t>
  </si>
  <si>
    <t>tonnes</t>
  </si>
  <si>
    <t>Basket hitch - round 90°</t>
  </si>
  <si>
    <t>Choke hitch - rectangular 0 to 45°</t>
  </si>
  <si>
    <t>Basket hitch - not round 60°</t>
  </si>
  <si>
    <t>Basket hitch - not round 90°</t>
  </si>
  <si>
    <t>Load - which chains</t>
  </si>
  <si>
    <t>If load is;</t>
  </si>
  <si>
    <t>Straight sling (or adjustable with no deration)</t>
  </si>
  <si>
    <t>Reeved sling</t>
  </si>
  <si>
    <t>Basket sling max 60°</t>
  </si>
  <si>
    <t>Straight sling</t>
  </si>
  <si>
    <t>Basket sling</t>
  </si>
  <si>
    <t>And sling config. is;</t>
  </si>
  <si>
    <t>60°</t>
  </si>
  <si>
    <t>90°</t>
  </si>
  <si>
    <t>120°</t>
  </si>
  <si>
    <t>60° max</t>
  </si>
  <si>
    <t xml:space="preserve">And Grade is; </t>
  </si>
  <si>
    <t>Required diameter is</t>
  </si>
  <si>
    <t>Two, three or four leg</t>
  </si>
  <si>
    <t>Wire slings SWL</t>
  </si>
  <si>
    <t>wire</t>
  </si>
  <si>
    <t>Diameter</t>
  </si>
  <si>
    <t>Basket hitch - round</t>
  </si>
  <si>
    <t>Basket hitch - not round</t>
  </si>
  <si>
    <t>Included angle a</t>
  </si>
  <si>
    <t>0° to 60°</t>
  </si>
  <si>
    <t>0° to 45°</t>
  </si>
  <si>
    <t>ATF 110G-5</t>
  </si>
  <si>
    <t>ATF 120-5.1</t>
  </si>
  <si>
    <t>ATF 130G-5</t>
  </si>
  <si>
    <t>ATF 220G-5</t>
  </si>
  <si>
    <t>ATF 400G-6</t>
  </si>
  <si>
    <t>GMK5130</t>
  </si>
  <si>
    <t>GMK5170</t>
  </si>
  <si>
    <t>AC100-4</t>
  </si>
  <si>
    <t>AC130-5</t>
  </si>
  <si>
    <t>AC160</t>
  </si>
  <si>
    <t>AC200</t>
  </si>
  <si>
    <t>AC 220-5</t>
  </si>
  <si>
    <t>AC300</t>
  </si>
  <si>
    <t>Tadano line pulls</t>
  </si>
  <si>
    <t>Grove line pulls</t>
  </si>
  <si>
    <t>Demag line pulls</t>
  </si>
  <si>
    <t>Refer to image for required inputs</t>
  </si>
  <si>
    <t>"a" Dist C of G to main lift points</t>
  </si>
  <si>
    <t>Tailing crane</t>
  </si>
  <si>
    <t>"b" Dist C of G to tail lift points</t>
  </si>
  <si>
    <t>"c" Offset C of G to tail lift points</t>
  </si>
  <si>
    <t>Crane components</t>
  </si>
  <si>
    <t>"d" Offset C of G to main lift points</t>
  </si>
  <si>
    <t>All weights in kg</t>
  </si>
  <si>
    <t>This table shows the change in total lifted weight as the load is rotated. It includes crane components weight and rigging weight.</t>
  </si>
  <si>
    <t>Misc line pulls</t>
  </si>
  <si>
    <t>16mm</t>
  </si>
  <si>
    <t>22mm</t>
  </si>
  <si>
    <t>Lift point load shares - eight point lift</t>
  </si>
  <si>
    <t>Load weight?</t>
  </si>
  <si>
    <t>LP1 load share;</t>
  </si>
  <si>
    <t>LP2 load share;</t>
  </si>
  <si>
    <t>LP5 load share;</t>
  </si>
  <si>
    <t>LP6 load share;</t>
  </si>
  <si>
    <t>Dimensions? (mm)</t>
  </si>
  <si>
    <t>A</t>
  </si>
  <si>
    <t>B</t>
  </si>
  <si>
    <t>C</t>
  </si>
  <si>
    <t>D</t>
  </si>
  <si>
    <t>E</t>
  </si>
  <si>
    <t>F</t>
  </si>
  <si>
    <t xml:space="preserve">You must ensure these values are entered accurately, as per the designer or vendors drawings and / or instructions. </t>
  </si>
  <si>
    <t>LP3 load share;</t>
  </si>
  <si>
    <t>LP4 load share;</t>
  </si>
  <si>
    <t>LP7 load share;</t>
  </si>
  <si>
    <t>LP8 load share;</t>
  </si>
  <si>
    <t>Important Assumptions and Limitations</t>
  </si>
  <si>
    <t>This calculator is intended as a lift planning aid to assist competent persons in estimating load distribution, sling tensions, and rigging loads for the purpose of selecting suitable lifting equipment and preparing lift plans.</t>
  </si>
  <si>
    <t>The load share calculations are based on the assumption that the load behaves as a rigid body and that the rigging arrangement is designed to maintain the assumed geometry as closely as practicable. This typically includes the use of suitable spreader bars, sling lengths, and rigging configurations to minimise unintended load redistribution.</t>
  </si>
  <si>
    <t>The calculations do not account for load flexibility, structural deflection, local deformation, fabrication tolerances, unequal sling stretch, support settlement, dynamic effects, or other factors that may influence actual load distribution during a lift.</t>
  </si>
  <si>
    <t>Calculated lift point loads, sling tensions, and rigging loads are estimates only and should be considered in conjunction with engineering judgement, manufacturer information, site requirements, and any project-specific engineering assessment.</t>
  </si>
  <si>
    <t>The user is responsible for determining the suitability of the assumptions used and for verifying that all lifting equipment is adequately rated for the intended lift.</t>
  </si>
  <si>
    <t>Sling tension calculator - eight point lift</t>
  </si>
  <si>
    <t>(Scroll down to see all…)</t>
  </si>
  <si>
    <r>
      <t xml:space="preserve">CAUTION; This calculator gives an </t>
    </r>
    <r>
      <rPr>
        <b/>
        <i/>
        <u/>
        <sz val="9"/>
        <color rgb="FFFF0000"/>
        <rFont val="Segoe UI"/>
        <family val="2"/>
      </rPr>
      <t>indication only</t>
    </r>
    <r>
      <rPr>
        <b/>
        <sz val="9"/>
        <color rgb="FFFF0000"/>
        <rFont val="Segoe UI"/>
        <family val="2"/>
      </rPr>
      <t xml:space="preserve"> of sling tensions. It does not take into account the self weight of all of the rigging. It is intended to give the Lift Planner a guide as to minimum rigging requirments.</t>
    </r>
  </si>
  <si>
    <t>Geometry helper — do not edit</t>
  </si>
  <si>
    <t>Sling minimum lengths</t>
  </si>
  <si>
    <t>Sling vertical loads</t>
  </si>
  <si>
    <t>Sling tensions</t>
  </si>
  <si>
    <t>Sling SWL</t>
  </si>
  <si>
    <t>Sling utilisation</t>
  </si>
  <si>
    <t>A (row spacing)</t>
  </si>
  <si>
    <t>%</t>
  </si>
  <si>
    <t>Lift point loads;</t>
  </si>
  <si>
    <t>Lift Point 1</t>
  </si>
  <si>
    <t>Lift Point 2</t>
  </si>
  <si>
    <t>Delta offset</t>
  </si>
  <si>
    <t>Lift Point 3</t>
  </si>
  <si>
    <t>run col1 (LP1,LP3)</t>
  </si>
  <si>
    <t>Lift Point 4</t>
  </si>
  <si>
    <t>run col2 (LP2,LP4)</t>
  </si>
  <si>
    <t>Lift Point 5</t>
  </si>
  <si>
    <t>run col3 (LP5,LP7)</t>
  </si>
  <si>
    <t>Lift Point 6</t>
  </si>
  <si>
    <t>run col4 (LP6,LP8)</t>
  </si>
  <si>
    <t>Lift Point 7</t>
  </si>
  <si>
    <t>height SB2 lower</t>
  </si>
  <si>
    <t>Lift Point 8</t>
  </si>
  <si>
    <t>height SB3 lower</t>
  </si>
  <si>
    <t>Spreader bar 1 weight?</t>
  </si>
  <si>
    <t>mid run (A/2)</t>
  </si>
  <si>
    <t>Spreader bar 2 weight?</t>
  </si>
  <si>
    <t>height mid</t>
  </si>
  <si>
    <t>Spreader bar 3 weight?</t>
  </si>
  <si>
    <t>hook X (over CoG)</t>
  </si>
  <si>
    <t>X SB1 left end</t>
  </si>
  <si>
    <t>Slings 1 &amp; 2 min. angle?</t>
  </si>
  <si>
    <t>X SB1 right end</t>
  </si>
  <si>
    <t>Slings 3 to 6 min. angle?</t>
  </si>
  <si>
    <t>run top left (sling1)</t>
  </si>
  <si>
    <t>Slings 7 to 14 min. angle?</t>
  </si>
  <si>
    <t>run top right (sling2)</t>
  </si>
  <si>
    <t>height top</t>
  </si>
  <si>
    <t xml:space="preserve">If these cells are left blank, the default minimum sling angle is 60 deg from the horizontal. You can specify different desired minimum angles for all, or two or just one group of slings. </t>
  </si>
  <si>
    <t>valid flag</t>
  </si>
  <si>
    <t>Do you want to add a Dynamic Amplification Factor?</t>
  </si>
  <si>
    <t>trans overhang SB2</t>
  </si>
  <si>
    <t xml:space="preserve">               DAF</t>
  </si>
  <si>
    <t>(1.1 to 5)</t>
  </si>
  <si>
    <t>trans overhang SB3</t>
  </si>
  <si>
    <t>Slings 7 to 14 out angle?</t>
  </si>
  <si>
    <t>deg</t>
  </si>
  <si>
    <t xml:space="preserve">This refers to the outwards angle of the slings to avoid contact with the load. </t>
  </si>
  <si>
    <t xml:space="preserve">Ideal Spreader Bar 1 length; </t>
  </si>
  <si>
    <t xml:space="preserve">Available length; </t>
  </si>
  <si>
    <t xml:space="preserve">Ideal Spreader Bar 2 length; </t>
  </si>
  <si>
    <t xml:space="preserve">Ideal Spreader Bar 3 length; </t>
  </si>
  <si>
    <t>IWRC slings - 1770 Grade</t>
  </si>
  <si>
    <t>(Independent wire rope core)</t>
  </si>
  <si>
    <t>Loading factors</t>
  </si>
  <si>
    <t>1</t>
  </si>
  <si>
    <t>0.75</t>
  </si>
  <si>
    <t>0.5</t>
  </si>
  <si>
    <t>1.73</t>
  </si>
  <si>
    <t>1.41</t>
  </si>
  <si>
    <t>0.87</t>
  </si>
  <si>
    <t>0.71</t>
  </si>
  <si>
    <t>1.30</t>
  </si>
  <si>
    <t>Rope dia (mm)</t>
  </si>
  <si>
    <t>IWRC slings - 1960 Grade</t>
  </si>
  <si>
    <t>Conversions</t>
  </si>
  <si>
    <t>Conversion calculators</t>
  </si>
  <si>
    <t>Ounces</t>
  </si>
  <si>
    <t>Pounds</t>
  </si>
  <si>
    <t>US (short) Tons</t>
  </si>
  <si>
    <t>Imp. (long) Tons</t>
  </si>
  <si>
    <t>Kilograms</t>
  </si>
  <si>
    <t>Tonnes</t>
  </si>
  <si>
    <t>Newtons</t>
  </si>
  <si>
    <t>Kips</t>
  </si>
  <si>
    <t>equals</t>
  </si>
  <si>
    <t>Pressure</t>
  </si>
  <si>
    <t>Psi</t>
  </si>
  <si>
    <t>Bar</t>
  </si>
  <si>
    <t>kPa</t>
  </si>
  <si>
    <t>t/m²</t>
  </si>
  <si>
    <t>kg/m²</t>
  </si>
  <si>
    <t>Inches</t>
  </si>
  <si>
    <t>Feet</t>
  </si>
  <si>
    <t>Yards</t>
  </si>
  <si>
    <t>Miles</t>
  </si>
  <si>
    <t>Millimetres</t>
  </si>
  <si>
    <t>Metres</t>
  </si>
  <si>
    <t>Area</t>
  </si>
  <si>
    <t>Sq. Inches</t>
  </si>
  <si>
    <t>Sq. Feet</t>
  </si>
  <si>
    <t>Sq. Yards</t>
  </si>
  <si>
    <t>Acres</t>
  </si>
  <si>
    <t>Sq. Miles</t>
  </si>
  <si>
    <t>Sq. Cm.</t>
  </si>
  <si>
    <t>Sq. Metres</t>
  </si>
  <si>
    <t>Hectares</t>
  </si>
  <si>
    <t>Capacity - Volume</t>
  </si>
  <si>
    <t>Cubic Inches</t>
  </si>
  <si>
    <t>Cubic Feet</t>
  </si>
  <si>
    <t>Cubic Yards</t>
  </si>
  <si>
    <t>Litres</t>
  </si>
  <si>
    <t>Cubic Metre</t>
  </si>
  <si>
    <t>Slings of 2, 3 or 4 legs</t>
  </si>
  <si>
    <t>2 leg slings</t>
  </si>
  <si>
    <t>Chain dia. (mm)</t>
  </si>
  <si>
    <t>G80</t>
  </si>
  <si>
    <t>G100</t>
  </si>
  <si>
    <t>Greenpin standard bow shackles - safety bolt</t>
  </si>
  <si>
    <t>working load limit</t>
  </si>
  <si>
    <t>diameter bow</t>
  </si>
  <si>
    <t>diameter pin</t>
  </si>
  <si>
    <t>diameter eye</t>
  </si>
  <si>
    <t>width eye</t>
  </si>
  <si>
    <t>width inside</t>
  </si>
  <si>
    <t>length inside</t>
  </si>
  <si>
    <t>width bow</t>
  </si>
  <si>
    <t>length</t>
  </si>
  <si>
    <t>length bolt</t>
  </si>
  <si>
    <t>thickness nut</t>
  </si>
  <si>
    <t>weight each</t>
  </si>
  <si>
    <t>tons</t>
  </si>
  <si>
    <t>a mm</t>
  </si>
  <si>
    <t>b mm</t>
  </si>
  <si>
    <t>c mm</t>
  </si>
  <si>
    <t>d mm</t>
  </si>
  <si>
    <t>e mm</t>
  </si>
  <si>
    <t>f mm</t>
  </si>
  <si>
    <t>g mm</t>
  </si>
  <si>
    <t>h mm</t>
  </si>
  <si>
    <t>i mm</t>
  </si>
  <si>
    <t>j mm</t>
  </si>
  <si>
    <t>k mm</t>
  </si>
  <si>
    <t>Greenpin sling shackles - safety bolt</t>
  </si>
  <si>
    <t>diameter body</t>
  </si>
  <si>
    <t>width</t>
  </si>
  <si>
    <t>bearing surface</t>
  </si>
  <si>
    <t>l mm</t>
  </si>
  <si>
    <t>Greenpin Super Shackles - safety bolt</t>
  </si>
  <si>
    <t>Round slings - to AS 4497</t>
  </si>
  <si>
    <t>Straight lift</t>
  </si>
  <si>
    <t>Choked lift</t>
  </si>
  <si>
    <t>Parallel</t>
  </si>
  <si>
    <t>Basket hitch - 2, 3 &amp; 4 legs</t>
  </si>
  <si>
    <t>Load factor</t>
  </si>
  <si>
    <t>(60°)  1.73</t>
  </si>
  <si>
    <t>(90°)  1.41</t>
  </si>
  <si>
    <t>(120°)  1</t>
  </si>
  <si>
    <t>Colour as per AS 4497</t>
  </si>
  <si>
    <t>Violet</t>
  </si>
  <si>
    <t>Green</t>
  </si>
  <si>
    <t>Yellow</t>
  </si>
  <si>
    <t>Grey</t>
  </si>
  <si>
    <t>Red</t>
  </si>
  <si>
    <t>Brown</t>
  </si>
  <si>
    <t>Blue</t>
  </si>
  <si>
    <t>Orange</t>
  </si>
  <si>
    <t>Rigging calcs</t>
  </si>
  <si>
    <t>Load share calc</t>
  </si>
  <si>
    <t>Interpolate</t>
  </si>
  <si>
    <t>Liebherr hooks</t>
  </si>
  <si>
    <t>Tadano hooks</t>
  </si>
  <si>
    <t>Grove hooks</t>
  </si>
  <si>
    <t>Demag hooks</t>
  </si>
  <si>
    <t>Liebherr line pulls</t>
  </si>
  <si>
    <t>Misc Line pulls</t>
  </si>
  <si>
    <t>Wind speeds</t>
  </si>
  <si>
    <t>Lift &amp; Tail calc</t>
  </si>
  <si>
    <t>4 point lift calc</t>
  </si>
  <si>
    <t>Load splits - 8 pt</t>
  </si>
  <si>
    <t>Sling tensions - 8 pt</t>
  </si>
  <si>
    <t>Interpolate SSL</t>
  </si>
  <si>
    <t>Wire slings 1770</t>
  </si>
  <si>
    <t>Wire slings 1960</t>
  </si>
  <si>
    <t>Super shackles</t>
  </si>
  <si>
    <t>Soft Rounds</t>
  </si>
  <si>
    <t>Ground bearing pressure calculator</t>
  </si>
  <si>
    <t>For cranes on outriggers</t>
  </si>
  <si>
    <r>
      <t xml:space="preserve">Note; This calculator relies on the user getting maximum jack down force from OEM software. It does not calculate those values. Due to the variability of different outrigger pad materials, and varying ground conditions, the maximum ground bearing pressures calculated here </t>
    </r>
    <r>
      <rPr>
        <b/>
        <i/>
        <u/>
        <sz val="10"/>
        <rFont val="Segoe UI"/>
        <family val="2"/>
      </rPr>
      <t>can only be seen as estimations.</t>
    </r>
  </si>
  <si>
    <t>Outrigger jack pad type;</t>
  </si>
  <si>
    <t>Enter data for one type only. If changing to a different type, other data must be deleted.</t>
  </si>
  <si>
    <r>
      <rPr>
        <b/>
        <sz val="10"/>
        <rFont val="Segoe UI"/>
        <family val="2"/>
      </rPr>
      <t>Round</t>
    </r>
    <r>
      <rPr>
        <sz val="10"/>
        <rFont val="Segoe UI"/>
        <family val="2"/>
      </rPr>
      <t xml:space="preserve"> </t>
    </r>
  </si>
  <si>
    <t>diameter;</t>
  </si>
  <si>
    <t>Square</t>
  </si>
  <si>
    <t xml:space="preserve">mm </t>
  </si>
  <si>
    <t>Outrigger pad type;</t>
  </si>
  <si>
    <t>Timbers</t>
  </si>
  <si>
    <t>Width</t>
  </si>
  <si>
    <t>Thickness</t>
  </si>
  <si>
    <t>On ground</t>
  </si>
  <si>
    <t>Layer 2</t>
  </si>
  <si>
    <t>Layer 3</t>
  </si>
  <si>
    <t xml:space="preserve">Weight </t>
  </si>
  <si>
    <t>How many</t>
  </si>
  <si>
    <t>Non-engineered steel pad</t>
  </si>
  <si>
    <t>Engineered &amp; certified steel pad</t>
  </si>
  <si>
    <t>Maximum jack down force;</t>
  </si>
  <si>
    <t>This value must come from OEM software or OEM web resource</t>
  </si>
  <si>
    <t>Ground contact area;</t>
  </si>
  <si>
    <t>m2  (calculated from inputs above)</t>
  </si>
  <si>
    <t>Estimated maximum GBP</t>
  </si>
  <si>
    <t>tonnes / m2</t>
  </si>
  <si>
    <t xml:space="preserve">This GBP calculator assumes the worst case of effective ground contact area being delineated by 45 degree lines of force emanating from the perimeter of the outrigger jack pad, for timber or non-engineered steel pads. Round jack pads will give higher results than square jack pads. It is assumed that fully engineered pads can act as bridges. Therefore full ground contact area can be used in GBP calculations. </t>
  </si>
  <si>
    <t>Cells with this colour are for user input</t>
  </si>
  <si>
    <t xml:space="preserve">Cells with this colour are dropdown lists. Click the small down arrow to change. </t>
  </si>
  <si>
    <t>(All values on this page are from OEM load chart manuals)</t>
  </si>
  <si>
    <t>This sheet partly auto fills from the preceeding "Load splits - 8 pt" sheet</t>
  </si>
  <si>
    <t xml:space="preserve">Enter 1st radius    </t>
  </si>
  <si>
    <t xml:space="preserve">This radius will auto calc    </t>
  </si>
  <si>
    <t xml:space="preserve">   Enter SWL for first radius</t>
  </si>
  <si>
    <t xml:space="preserve">   Enter SWL for second radius</t>
  </si>
  <si>
    <t>How to use this sheet;</t>
  </si>
  <si>
    <t>4 point lift calculator</t>
  </si>
  <si>
    <t>Max. sling length</t>
  </si>
  <si>
    <t>Max. sling tension</t>
  </si>
  <si>
    <t>DAF</t>
  </si>
  <si>
    <t>Set min. angle</t>
  </si>
  <si>
    <t>This calculator gives load shares only at each lift point. Distance E is irrelevant for this section.</t>
  </si>
  <si>
    <t>G80 chains</t>
  </si>
  <si>
    <t>G100 chains</t>
  </si>
  <si>
    <t>G120 chains</t>
  </si>
  <si>
    <t>Interpolate load chart</t>
  </si>
  <si>
    <t>Chain sling SWL tables - Grade 80</t>
  </si>
  <si>
    <t>Chain sling SWL tables - Grade 100</t>
  </si>
  <si>
    <t>Chain sling SWL tables - Grade 120</t>
  </si>
  <si>
    <t>Std Bow shackles</t>
  </si>
  <si>
    <t>Wide body shackles</t>
  </si>
  <si>
    <t>All WLL shown below are in tonnes</t>
  </si>
  <si>
    <t>Select the units to convert From and To in the blue dropdown boxes</t>
  </si>
  <si>
    <t>Enter quantity in the grey cell</t>
  </si>
  <si>
    <t>(From lift point 1 to lift point 2 - MUST be greater than Distance A)</t>
  </si>
  <si>
    <t>This table shows the required capacity for each crane at each angle of rotation of the load. This section complies with AS 2550.1 2011, Section 6.28.3 - Capacity requirements</t>
  </si>
  <si>
    <t>Lift crane</t>
  </si>
  <si>
    <t>In this section you can set the maximum allowable sling lengths and tensions as well as the minimum angle from the horizontal. (Allowable sling angle range is from 30 degrees to 90 degrees) You can also add a DAF if required</t>
  </si>
  <si>
    <t>Enter data into the grey cells. This sheet feeds the following sheet "Sling tensions - 8pt"</t>
  </si>
  <si>
    <t>"LP" = Lift Point</t>
  </si>
  <si>
    <t>Lift complies with AS2550?</t>
  </si>
  <si>
    <t>Utilisation of actual SWL</t>
  </si>
  <si>
    <t>Actual SWL</t>
  </si>
  <si>
    <t>Total lift weight</t>
  </si>
  <si>
    <t>Rigging weight</t>
  </si>
  <si>
    <t>Load share</t>
  </si>
  <si>
    <t>Crane 4</t>
  </si>
  <si>
    <t>Crane 3</t>
  </si>
  <si>
    <t>Four crane lift</t>
  </si>
  <si>
    <t>Three crane lift</t>
  </si>
  <si>
    <t>NOTE; If you enter an Actual SWL that is less than the Required SWL, the cell will turn red. You can enter corrected data by simply clicking on that cell and entering a new value</t>
  </si>
  <si>
    <t>Two crane lift</t>
  </si>
  <si>
    <r>
      <t xml:space="preserve">CAUTION; Determining load shares for a multi crane lift, especially for 3 or more cranes, may need engineering input. These calculators will return results based </t>
    </r>
    <r>
      <rPr>
        <u/>
        <sz val="10"/>
        <color rgb="FFFF0000"/>
        <rFont val="Segoe UI"/>
        <family val="2"/>
      </rPr>
      <t>only on your input</t>
    </r>
    <r>
      <rPr>
        <sz val="10"/>
        <color rgb="FFFF0000"/>
        <rFont val="Segoe UI"/>
        <family val="2"/>
      </rPr>
      <t xml:space="preserve">. </t>
    </r>
  </si>
  <si>
    <r>
      <t xml:space="preserve">NOTE; These calculators are based on Australian Standard </t>
    </r>
    <r>
      <rPr>
        <i/>
        <sz val="10"/>
        <rFont val="Segoe UI"/>
        <family val="2"/>
      </rPr>
      <t>AS 2550.1-2011 Cranes hoists and winches - Safe use - General requirements</t>
    </r>
    <r>
      <rPr>
        <sz val="10"/>
        <rFont val="Segoe UI"/>
        <family val="2"/>
      </rPr>
      <t xml:space="preserve">. </t>
    </r>
  </si>
  <si>
    <t>Multi crane lift calcs</t>
  </si>
  <si>
    <t>Boom / jib tip height above obstacle</t>
  </si>
  <si>
    <t>AG17</t>
  </si>
  <si>
    <t>Maximum lift radius</t>
  </si>
  <si>
    <t>U45</t>
  </si>
  <si>
    <t>Boom angle</t>
  </si>
  <si>
    <t>H33</t>
  </si>
  <si>
    <t>Clearance between boom and obstacle. From obstacle corner to perpendicular point on boom</t>
  </si>
  <si>
    <t>P19</t>
  </si>
  <si>
    <t>Required calculations;</t>
  </si>
  <si>
    <t>Vertical height of boom section (deduct half this value from the calculated boom / obstacle distance)</t>
  </si>
  <si>
    <t>L15</t>
  </si>
  <si>
    <t>Height of obstacle</t>
  </si>
  <si>
    <t>L14</t>
  </si>
  <si>
    <t>Required distance into structure / past obstacle</t>
  </si>
  <si>
    <t>L13</t>
  </si>
  <si>
    <t>Horizontal dist. Crane slew centre to obstacle face</t>
  </si>
  <si>
    <t>L12</t>
  </si>
  <si>
    <t>Vertical height of the boom section most adjacent to the obstacle</t>
  </si>
  <si>
    <t>Jib angle (if jib is fitted - optional input, but must be blank if no value in L10)</t>
  </si>
  <si>
    <t>L11</t>
  </si>
  <si>
    <t>Jib length (if fitted - optional input)</t>
  </si>
  <si>
    <t>L10</t>
  </si>
  <si>
    <t>Required distance into / past obstacle</t>
  </si>
  <si>
    <t>Main boom length</t>
  </si>
  <si>
    <t>L9</t>
  </si>
  <si>
    <t>Distance from obstacle</t>
  </si>
  <si>
    <t xml:space="preserve">Ensure all items 3 to 9 are filled with the correct data! </t>
  </si>
  <si>
    <t>Jib offset / angle</t>
  </si>
  <si>
    <t>θ boom angle (rad)</t>
  </si>
  <si>
    <t>Crawler boom pivot point above ground level</t>
  </si>
  <si>
    <t>U7</t>
  </si>
  <si>
    <t>Jib length</t>
  </si>
  <si>
    <t>B coefficient</t>
  </si>
  <si>
    <t>Crawler boom pivot point forward of crane slew centre</t>
  </si>
  <si>
    <t>L7</t>
  </si>
  <si>
    <t>A coefficient</t>
  </si>
  <si>
    <t>Hydraulic boom pivot point above ground level</t>
  </si>
  <si>
    <t>U6</t>
  </si>
  <si>
    <t>Effective jib angle (rad)</t>
  </si>
  <si>
    <t>Hydraulic boom pivot point behind crane slew centre</t>
  </si>
  <si>
    <t>L6</t>
  </si>
  <si>
    <t>m above ground</t>
  </si>
  <si>
    <t xml:space="preserve">forward of slew centre and </t>
  </si>
  <si>
    <t>Crawler crane boom pivot point</t>
  </si>
  <si>
    <t>Effective jib length (m)</t>
  </si>
  <si>
    <t>User inputs;</t>
  </si>
  <si>
    <t>Enter data for one crane type only. If changing crane type, clear existing data first.</t>
  </si>
  <si>
    <t xml:space="preserve">behind slew centre and </t>
  </si>
  <si>
    <t>Hydraulic crane boom pivot point</t>
  </si>
  <si>
    <t>Horiz dist pivot to tip (m)</t>
  </si>
  <si>
    <t>Pivot Y (m)</t>
  </si>
  <si>
    <t>Enter all required data as specified below;</t>
  </si>
  <si>
    <t>Pivot X (m)</t>
  </si>
  <si>
    <t>Helper Calculations</t>
  </si>
  <si>
    <t>Boom / obstacle clearance calculator</t>
  </si>
  <si>
    <r>
      <t xml:space="preserve">CAUTION; This calculator gives an </t>
    </r>
    <r>
      <rPr>
        <b/>
        <i/>
        <u/>
        <sz val="9"/>
        <color rgb="FFFF0000"/>
        <rFont val="Segoe UI"/>
        <family val="2"/>
      </rPr>
      <t>indication only</t>
    </r>
    <r>
      <rPr>
        <b/>
        <sz val="9"/>
        <color rgb="FFFF0000"/>
        <rFont val="Segoe UI"/>
        <family val="2"/>
      </rPr>
      <t xml:space="preserve"> of sling tensions. It does not take into account the self weight of the rigging. </t>
    </r>
  </si>
  <si>
    <t xml:space="preserve">"DIST. A" can be more than half of "DIST. B" Think of a mirrored image. </t>
  </si>
  <si>
    <t>Sling 2 utilisation</t>
  </si>
  <si>
    <t>Sling 2 vertical load</t>
  </si>
  <si>
    <t>Sling 1 utilisation</t>
  </si>
  <si>
    <t>Sling 1 vertical load</t>
  </si>
  <si>
    <t>Sling 2 min. length</t>
  </si>
  <si>
    <t>Sling 1 min. length</t>
  </si>
  <si>
    <t>Minimum sling angle</t>
  </si>
  <si>
    <t>Sling 2 SWL</t>
  </si>
  <si>
    <t>Sling 1 SWL</t>
  </si>
  <si>
    <t>Distance between sling points (mm)</t>
  </si>
  <si>
    <t>Dist. B?</t>
  </si>
  <si>
    <t>Sling 1 attach point to C of G (mm)</t>
  </si>
  <si>
    <t>Dist. A?</t>
  </si>
  <si>
    <t>Sling tension calculator - two point lift</t>
  </si>
  <si>
    <r>
      <t xml:space="preserve">CAUTION; This calculator gives an </t>
    </r>
    <r>
      <rPr>
        <b/>
        <i/>
        <u/>
        <sz val="9"/>
        <color rgb="FFFF0000"/>
        <rFont val="Segoe UI"/>
        <family val="2"/>
      </rPr>
      <t>indication only</t>
    </r>
    <r>
      <rPr>
        <b/>
        <sz val="9"/>
        <color rgb="FFFF0000"/>
        <rFont val="Segoe UI"/>
        <family val="2"/>
      </rPr>
      <t xml:space="preserve"> of sling tensions. It does not take into account the self weight of all of the rigging. </t>
    </r>
  </si>
  <si>
    <t>Slings 3 to 6 min. angle</t>
  </si>
  <si>
    <t>Slings 1 &amp; 2 min. angle</t>
  </si>
  <si>
    <t>Spreader weight</t>
  </si>
  <si>
    <t>Sling 6 SWL</t>
  </si>
  <si>
    <t>Sling 5 SWL</t>
  </si>
  <si>
    <t>Sling 4 SWL</t>
  </si>
  <si>
    <t>Sling 3 SWL</t>
  </si>
  <si>
    <t>Dist. D?</t>
  </si>
  <si>
    <t>Dist. C?</t>
  </si>
  <si>
    <t>Sling tension calculator - four point lift</t>
  </si>
  <si>
    <t>Multi crane calcs</t>
  </si>
  <si>
    <t>Boom clearance</t>
  </si>
  <si>
    <t>Sling tensions - 2 pt</t>
  </si>
  <si>
    <t>Sling tensions - 4 pt</t>
  </si>
  <si>
    <t>GBP Calc</t>
  </si>
  <si>
    <t>If entering data for the lower example in the image above, Ie; entering a value for lifting crane lift point offset, the last cell with a value for the Lifting crane shows at what angle the Tailing crane has no weight.</t>
  </si>
  <si>
    <t>G120</t>
  </si>
  <si>
    <t>Distance E is the height of the hook above the load. Set to zero if not required.</t>
  </si>
  <si>
    <t>(1 to 5; 1 = no amplification)</t>
  </si>
  <si>
    <t>Pivot input valid?</t>
  </si>
  <si>
    <t>Numerical contact tolerance (m)</t>
  </si>
  <si>
    <t>PCS Crane and rigging calcs July 26</t>
  </si>
  <si>
    <t>This workbook created by;</t>
  </si>
  <si>
    <t>Russell Parker</t>
  </si>
  <si>
    <t>Prime Crane Services</t>
  </si>
  <si>
    <t>prime@westnet.com.au</t>
  </si>
  <si>
    <t>www.rptraining.com.au</t>
  </si>
  <si>
    <t xml:space="preserve">The line pull values on this sheet are derived from publicly available brochures. The single line pull is taken, then a loss factor is applied. You can change the loss factor if desired. </t>
  </si>
  <si>
    <t>°</t>
  </si>
  <si>
    <t>Hook weights / data on this sheet are derived from publicly available brochures on the internet. It remains your responsibility to check the weights / other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</si>
</sst>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 &quot;m&quot;"/>
    <numFmt numFmtId="165" formatCode="0.000"/>
    <numFmt numFmtId="166" formatCode="0.0"/>
    <numFmt numFmtId="167" formatCode="0_)"/>
    <numFmt numFmtId="168" formatCode="0.00_)"/>
    <numFmt numFmtId="169" formatCode="0.0000_)"/>
    <numFmt numFmtId="170" formatCode="00.00\ &quot;t&quot;"/>
    <numFmt numFmtId="171" formatCode="0.0\ &quot;m&quot;"/>
    <numFmt numFmtId="172" formatCode="0.0000"/>
    <numFmt numFmtId="173" formatCode="0.0%"/>
    <numFmt numFmtId="174" formatCode="[&gt;=100]&quot;OVERLOADED!&quot;;0.0"/>
    <numFmt numFmtId="175" formatCode="#,##0.0"/>
  </numFmts>
  <fonts count="60">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name val="Arial"/>
      <family val="2"/>
    </font>
    <font>
      <sz val="10"/>
      <name val="Calibri"/>
      <family val="2"/>
      <scheme val="minor"/>
    </font>
    <font>
      <b/>
      <sz val="12"/>
      <name val="Calibri"/>
      <family val="2"/>
      <scheme val="minor"/>
    </font>
    <font>
      <b/>
      <sz val="10"/>
      <name val="Calibri"/>
      <family val="2"/>
      <scheme val="minor"/>
    </font>
    <font>
      <sz val="10"/>
      <color theme="1"/>
      <name val="Calibri"/>
      <family val="2"/>
      <scheme val="minor"/>
    </font>
    <font>
      <b/>
      <sz val="10"/>
      <color theme="1"/>
      <name val="Calibri"/>
      <family val="2"/>
      <scheme val="minor"/>
    </font>
    <font>
      <b/>
      <sz val="11"/>
      <name val="Calibri"/>
      <family val="2"/>
      <scheme val="minor"/>
    </font>
    <font>
      <sz val="11"/>
      <name val="Calibri"/>
      <family val="2"/>
      <scheme val="minor"/>
    </font>
    <font>
      <b/>
      <sz val="10"/>
      <name val="Arial"/>
      <family val="2"/>
    </font>
    <font>
      <sz val="8"/>
      <name val="Calibri"/>
      <family val="2"/>
      <scheme val="minor"/>
    </font>
    <font>
      <u/>
      <sz val="11"/>
      <color theme="10"/>
      <name val="Calibri"/>
      <family val="2"/>
      <scheme val="minor"/>
    </font>
    <font>
      <b/>
      <sz val="10"/>
      <color rgb="FF0000FF"/>
      <name val="Calibri"/>
      <family val="2"/>
      <scheme val="minor"/>
    </font>
    <font>
      <sz val="10"/>
      <color theme="1"/>
      <name val="Segoe UI"/>
      <family val="2"/>
    </font>
    <font>
      <b/>
      <sz val="14"/>
      <color rgb="FF0070C0"/>
      <name val="Segoe UI"/>
      <family val="2"/>
    </font>
    <font>
      <b/>
      <u/>
      <sz val="14"/>
      <color rgb="FF0563C1"/>
      <name val="Calibri"/>
      <family val="2"/>
      <scheme val="minor"/>
    </font>
    <font>
      <b/>
      <sz val="10"/>
      <color theme="1"/>
      <name val="Segoe UI"/>
      <family val="2"/>
    </font>
    <font>
      <sz val="10"/>
      <name val="Segoe UI"/>
      <family val="2"/>
    </font>
    <font>
      <sz val="9"/>
      <color theme="1"/>
      <name val="Segoe UI"/>
      <family val="2"/>
    </font>
    <font>
      <b/>
      <sz val="9"/>
      <color theme="1"/>
      <name val="Segoe UI"/>
      <family val="2"/>
    </font>
    <font>
      <b/>
      <sz val="14"/>
      <color theme="1"/>
      <name val="Calibri"/>
      <family val="2"/>
      <scheme val="minor"/>
    </font>
    <font>
      <sz val="9"/>
      <name val="Segoe UI"/>
      <family val="2"/>
    </font>
    <font>
      <sz val="12"/>
      <name val="Segoe UI"/>
      <family val="2"/>
    </font>
    <font>
      <b/>
      <sz val="12"/>
      <name val="Segoe UI"/>
      <family val="2"/>
    </font>
    <font>
      <b/>
      <sz val="9"/>
      <name val="Segoe UI"/>
      <family val="2"/>
    </font>
    <font>
      <b/>
      <sz val="9"/>
      <color rgb="FFFF0000"/>
      <name val="Segoe UI"/>
      <family val="2"/>
    </font>
    <font>
      <b/>
      <i/>
      <u/>
      <sz val="9"/>
      <color rgb="FFFF0000"/>
      <name val="Segoe UI"/>
      <family val="2"/>
    </font>
    <font>
      <sz val="9"/>
      <color rgb="FF000000"/>
      <name val="Segoe UI"/>
      <family val="2"/>
    </font>
    <font>
      <sz val="9"/>
      <color rgb="FFFF0000"/>
      <name val="Segoe UI"/>
      <family val="2"/>
    </font>
    <font>
      <sz val="9"/>
      <name val="Arial"/>
      <family val="2"/>
    </font>
    <font>
      <b/>
      <sz val="9"/>
      <color rgb="FF000000"/>
      <name val="Segoe UI"/>
      <family val="2"/>
    </font>
    <font>
      <b/>
      <sz val="9"/>
      <color rgb="FF0070C0"/>
      <name val="Segoe UI"/>
      <family val="2"/>
    </font>
    <font>
      <b/>
      <u/>
      <sz val="11"/>
      <color theme="10"/>
      <name val="Calibri"/>
      <family val="2"/>
      <scheme val="minor"/>
    </font>
    <font>
      <b/>
      <sz val="12"/>
      <color rgb="FF0070C0"/>
      <name val="Segoe UI"/>
      <family val="2"/>
    </font>
    <font>
      <sz val="12"/>
      <color theme="1"/>
      <name val="Calibri"/>
      <family val="2"/>
      <scheme val="minor"/>
    </font>
    <font>
      <b/>
      <i/>
      <u/>
      <sz val="10"/>
      <name val="Segoe UI"/>
      <family val="2"/>
    </font>
    <font>
      <b/>
      <sz val="10"/>
      <name val="Segoe UI"/>
      <family val="2"/>
    </font>
    <font>
      <sz val="8"/>
      <name val="Segoe UI"/>
      <family val="2"/>
    </font>
    <font>
      <b/>
      <sz val="8"/>
      <name val="Segoe UI"/>
      <family val="2"/>
    </font>
    <font>
      <sz val="11"/>
      <color theme="1"/>
      <name val="Segoe UI"/>
      <family val="2"/>
    </font>
    <font>
      <b/>
      <sz val="12"/>
      <color theme="1"/>
      <name val="Segoe UI"/>
      <family val="2"/>
    </font>
    <font>
      <b/>
      <sz val="11"/>
      <color theme="4" tint="-0.249977111117893"/>
      <name val="Calibri"/>
      <family val="2"/>
      <scheme val="minor"/>
    </font>
    <font>
      <b/>
      <sz val="11"/>
      <color theme="1"/>
      <name val="Segoe UI"/>
      <family val="2"/>
    </font>
    <font>
      <sz val="10"/>
      <color rgb="FFFF0000"/>
      <name val="Segoe UI"/>
      <family val="2"/>
    </font>
    <font>
      <u/>
      <sz val="10"/>
      <color rgb="FFFF0000"/>
      <name val="Segoe UI"/>
      <family val="2"/>
    </font>
    <font>
      <i/>
      <sz val="10"/>
      <name val="Segoe UI"/>
      <family val="2"/>
    </font>
    <font>
      <b/>
      <sz val="10"/>
      <color rgb="FF0070C0"/>
      <name val="Segoe UI"/>
      <family val="2"/>
    </font>
    <font>
      <b/>
      <sz val="10"/>
      <color rgb="FFFF0000"/>
      <name val="Segoe UI"/>
      <family val="2"/>
    </font>
    <font>
      <b/>
      <u/>
      <sz val="14"/>
      <color rgb="FF0563C1"/>
      <name val="Segoe UI"/>
      <family val="2"/>
    </font>
    <font>
      <sz val="14"/>
      <color theme="1"/>
      <name val="Segoe UI"/>
      <family val="2"/>
    </font>
    <font>
      <sz val="10"/>
      <color theme="1"/>
      <name val="Arial Unicode MS"/>
    </font>
    <font>
      <b/>
      <sz val="9"/>
      <color theme="4" tint="-0.249977111117893"/>
      <name val="Segoe UI"/>
      <family val="2"/>
    </font>
    <font>
      <b/>
      <sz val="10"/>
      <color rgb="FFC00000"/>
      <name val="Arial"/>
      <family val="2"/>
    </font>
    <font>
      <sz val="11"/>
      <color rgb="FF000000"/>
      <name val="Calibri"/>
      <scheme val="minor"/>
    </font>
    <font>
      <sz val="9"/>
      <color theme="0" tint="-4.9989318521683403E-2"/>
      <name val="Segoe UI"/>
      <family val="2"/>
    </font>
    <font>
      <sz val="12"/>
      <color theme="1"/>
      <name val="Segoe UI"/>
      <family val="2"/>
    </font>
    <font>
      <b/>
      <u/>
      <sz val="14"/>
      <color theme="10"/>
      <name val="Segoe UI"/>
      <family val="2"/>
    </font>
  </fonts>
  <fills count="22">
    <fill>
      <patternFill patternType="none"/>
    </fill>
    <fill>
      <patternFill patternType="gray125"/>
    </fill>
    <fill>
      <patternFill patternType="solid">
        <fgColor theme="4" tint="0.59999389629810485"/>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BDD7EE"/>
        <bgColor indexed="64"/>
      </patternFill>
    </fill>
    <fill>
      <patternFill patternType="solid">
        <fgColor rgb="FFC6E0B4"/>
        <bgColor indexed="64"/>
      </patternFill>
    </fill>
    <fill>
      <patternFill patternType="solid">
        <fgColor rgb="FFD9D9D9"/>
        <bgColor indexed="64"/>
      </patternFill>
    </fill>
    <fill>
      <patternFill patternType="solid">
        <fgColor rgb="FFE2EFDA"/>
        <bgColor indexed="64"/>
      </patternFill>
    </fill>
    <fill>
      <patternFill patternType="solid">
        <fgColor rgb="FFB359FF"/>
        <bgColor indexed="64"/>
      </patternFill>
    </fill>
    <fill>
      <patternFill patternType="solid">
        <fgColor rgb="FF59FF59"/>
        <bgColor indexed="64"/>
      </patternFill>
    </fill>
    <fill>
      <patternFill patternType="solid">
        <fgColor rgb="FFFFFF59"/>
        <bgColor indexed="64"/>
      </patternFill>
    </fill>
    <fill>
      <patternFill patternType="solid">
        <fgColor rgb="FFA8A8A8"/>
        <bgColor indexed="64"/>
      </patternFill>
    </fill>
    <fill>
      <patternFill patternType="solid">
        <fgColor rgb="FFFF5959"/>
        <bgColor indexed="64"/>
      </patternFill>
    </fill>
    <fill>
      <patternFill patternType="solid">
        <fgColor rgb="FFB37D4D"/>
        <bgColor indexed="64"/>
      </patternFill>
    </fill>
    <fill>
      <patternFill patternType="solid">
        <fgColor rgb="FF5959FF"/>
        <bgColor indexed="64"/>
      </patternFill>
    </fill>
    <fill>
      <patternFill patternType="solid">
        <fgColor rgb="FFFFB359"/>
        <bgColor indexed="64"/>
      </patternFill>
    </fill>
    <fill>
      <patternFill patternType="solid">
        <fgColor rgb="FF92D050"/>
        <bgColor indexed="64"/>
      </patternFill>
    </fill>
    <fill>
      <patternFill patternType="solid">
        <fgColor theme="9" tint="0.39997558519241921"/>
        <bgColor indexed="64"/>
      </patternFill>
    </fill>
    <fill>
      <patternFill patternType="solid">
        <fgColor theme="4" tint="0.79998168889431442"/>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bottom style="thin">
        <color rgb="FF000000"/>
      </bottom>
      <diagonal/>
    </border>
  </borders>
  <cellStyleXfs count="5">
    <xf numFmtId="0" fontId="0" fillId="0" borderId="0"/>
    <xf numFmtId="9" fontId="1" fillId="0" borderId="0" applyFont="0" applyFill="0" applyBorder="0" applyAlignment="0" applyProtection="0"/>
    <xf numFmtId="0" fontId="4" fillId="0" borderId="0"/>
    <xf numFmtId="0" fontId="14" fillId="0" borderId="0" applyNumberFormat="0" applyFill="0" applyBorder="0" applyAlignment="0" applyProtection="0"/>
    <xf numFmtId="0" fontId="4" fillId="0" borderId="0"/>
  </cellStyleXfs>
  <cellXfs count="604">
    <xf numFmtId="0" fontId="0" fillId="0" borderId="0" xfId="0"/>
    <xf numFmtId="0" fontId="18" fillId="0" borderId="0" xfId="3" applyFont="1" applyAlignment="1" applyProtection="1">
      <alignment horizontal="center" vertical="center"/>
    </xf>
    <xf numFmtId="0" fontId="16" fillId="2" borderId="5" xfId="0" applyFont="1" applyFill="1" applyBorder="1" applyAlignment="1" applyProtection="1">
      <alignment horizontal="center" vertical="center"/>
      <protection locked="0"/>
    </xf>
    <xf numFmtId="0" fontId="16" fillId="6" borderId="5" xfId="0" applyFont="1" applyFill="1" applyBorder="1" applyAlignment="1" applyProtection="1">
      <alignment horizontal="center" vertical="center"/>
      <protection locked="0"/>
    </xf>
    <xf numFmtId="1" fontId="16" fillId="2" borderId="5" xfId="0" applyNumberFormat="1" applyFont="1" applyFill="1" applyBorder="1" applyAlignment="1" applyProtection="1">
      <alignment horizontal="center" vertical="center"/>
      <protection locked="0"/>
    </xf>
    <xf numFmtId="166" fontId="16" fillId="6" borderId="5" xfId="0" applyNumberFormat="1" applyFont="1" applyFill="1" applyBorder="1" applyAlignment="1" applyProtection="1">
      <alignment horizontal="center" vertical="center"/>
      <protection locked="0"/>
    </xf>
    <xf numFmtId="0" fontId="16" fillId="2" borderId="14" xfId="0" applyFont="1" applyFill="1" applyBorder="1" applyAlignment="1" applyProtection="1">
      <alignment horizontal="center" vertical="center"/>
      <protection locked="0"/>
    </xf>
    <xf numFmtId="167" fontId="24" fillId="6" borderId="5" xfId="0" applyNumberFormat="1" applyFont="1" applyFill="1" applyBorder="1" applyAlignment="1" applyProtection="1">
      <alignment horizontal="center" vertical="center"/>
      <protection locked="0"/>
    </xf>
    <xf numFmtId="0" fontId="21" fillId="6" borderId="5" xfId="0" applyFont="1" applyFill="1" applyBorder="1" applyAlignment="1" applyProtection="1">
      <alignment horizontal="center" vertical="center"/>
      <protection locked="0"/>
    </xf>
    <xf numFmtId="1" fontId="21" fillId="6" borderId="5" xfId="0" applyNumberFormat="1" applyFont="1" applyFill="1" applyBorder="1" applyAlignment="1" applyProtection="1">
      <alignment horizontal="center" vertical="center"/>
      <protection locked="0"/>
    </xf>
    <xf numFmtId="0" fontId="21" fillId="6" borderId="15" xfId="0" applyFont="1" applyFill="1" applyBorder="1" applyAlignment="1" applyProtection="1">
      <alignment horizontal="center" vertical="center"/>
      <protection locked="0"/>
    </xf>
    <xf numFmtId="0" fontId="4" fillId="6" borderId="5" xfId="2" applyFill="1" applyBorder="1" applyAlignment="1" applyProtection="1">
      <alignment horizontal="center" vertical="center"/>
      <protection locked="0"/>
    </xf>
    <xf numFmtId="0" fontId="24" fillId="6" borderId="11" xfId="4" applyFont="1" applyFill="1" applyBorder="1" applyAlignment="1" applyProtection="1">
      <alignment horizontal="center" vertical="center"/>
      <protection locked="0"/>
    </xf>
    <xf numFmtId="0" fontId="27" fillId="2" borderId="5" xfId="4" applyFont="1" applyFill="1" applyBorder="1" applyAlignment="1" applyProtection="1">
      <alignment horizontal="center" vertical="center"/>
      <protection locked="0"/>
    </xf>
    <xf numFmtId="0" fontId="27" fillId="2" borderId="13" xfId="4" applyFont="1" applyFill="1" applyBorder="1" applyAlignment="1" applyProtection="1">
      <alignment horizontal="center" vertical="center"/>
      <protection locked="0"/>
    </xf>
    <xf numFmtId="0" fontId="24" fillId="6" borderId="22" xfId="4" applyFont="1" applyFill="1" applyBorder="1" applyAlignment="1" applyProtection="1">
      <alignment horizontal="center" vertical="center"/>
      <protection locked="0"/>
    </xf>
    <xf numFmtId="0" fontId="7" fillId="9" borderId="5" xfId="2" applyFont="1" applyFill="1" applyBorder="1" applyProtection="1">
      <protection locked="0"/>
    </xf>
    <xf numFmtId="0" fontId="2" fillId="9" borderId="5" xfId="0" applyFont="1" applyFill="1" applyBorder="1" applyAlignment="1" applyProtection="1">
      <alignment horizontal="center"/>
      <protection locked="0"/>
    </xf>
    <xf numFmtId="0" fontId="8" fillId="9" borderId="5" xfId="0" applyFont="1" applyFill="1" applyBorder="1" applyAlignment="1" applyProtection="1">
      <alignment horizontal="center" vertical="center"/>
      <protection locked="0"/>
    </xf>
    <xf numFmtId="0" fontId="36" fillId="0" borderId="0" xfId="3" applyFont="1" applyAlignment="1" applyProtection="1">
      <alignment horizontal="center" vertical="center"/>
    </xf>
    <xf numFmtId="9" fontId="1" fillId="0" borderId="9" xfId="1" applyFont="1" applyBorder="1" applyAlignment="1" applyProtection="1">
      <alignment horizontal="center" vertical="center"/>
    </xf>
    <xf numFmtId="9" fontId="1" fillId="0" borderId="8" xfId="1" applyFont="1" applyBorder="1" applyAlignment="1" applyProtection="1">
      <alignment horizontal="center" vertical="center"/>
    </xf>
    <xf numFmtId="9" fontId="1" fillId="0" borderId="10" xfId="1" applyFont="1" applyBorder="1" applyAlignment="1" applyProtection="1">
      <alignment horizontal="center" vertical="center"/>
    </xf>
    <xf numFmtId="9" fontId="1" fillId="0" borderId="9" xfId="1" applyFont="1" applyBorder="1" applyAlignment="1" applyProtection="1">
      <alignment horizontal="center"/>
    </xf>
    <xf numFmtId="9" fontId="1" fillId="0" borderId="8" xfId="1" applyFont="1" applyBorder="1" applyAlignment="1" applyProtection="1">
      <alignment horizontal="center"/>
    </xf>
    <xf numFmtId="9" fontId="1" fillId="0" borderId="10" xfId="1" applyFont="1" applyBorder="1" applyAlignment="1" applyProtection="1">
      <alignment horizontal="center"/>
    </xf>
    <xf numFmtId="173" fontId="1" fillId="0" borderId="14" xfId="1" applyNumberFormat="1" applyFont="1" applyBorder="1" applyAlignment="1" applyProtection="1">
      <alignment horizontal="center"/>
    </xf>
    <xf numFmtId="9" fontId="1" fillId="0" borderId="0" xfId="1" applyFont="1" applyBorder="1" applyProtection="1"/>
    <xf numFmtId="0" fontId="0" fillId="9" borderId="14" xfId="0" applyFill="1" applyBorder="1" applyAlignment="1" applyProtection="1">
      <alignment horizontal="center"/>
      <protection locked="0"/>
    </xf>
    <xf numFmtId="2" fontId="0" fillId="9" borderId="15" xfId="0" applyNumberFormat="1" applyFill="1" applyBorder="1" applyAlignment="1" applyProtection="1">
      <alignment horizontal="center"/>
      <protection locked="0"/>
    </xf>
    <xf numFmtId="0" fontId="8" fillId="9" borderId="3" xfId="0" applyFont="1" applyFill="1" applyBorder="1" applyAlignment="1" applyProtection="1">
      <alignment horizontal="center"/>
      <protection locked="0"/>
    </xf>
    <xf numFmtId="0" fontId="8" fillId="9" borderId="6" xfId="0" applyFont="1" applyFill="1" applyBorder="1" applyAlignment="1" applyProtection="1">
      <alignment horizontal="center"/>
      <protection locked="0"/>
    </xf>
    <xf numFmtId="171" fontId="2" fillId="6" borderId="5" xfId="0" applyNumberFormat="1" applyFont="1" applyFill="1" applyBorder="1" applyAlignment="1" applyProtection="1">
      <alignment horizontal="center" vertical="center"/>
      <protection locked="0"/>
    </xf>
    <xf numFmtId="170" fontId="2" fillId="6" borderId="5" xfId="0" applyNumberFormat="1" applyFont="1" applyFill="1" applyBorder="1" applyAlignment="1" applyProtection="1">
      <alignment horizontal="center" vertical="center"/>
      <protection locked="0"/>
    </xf>
    <xf numFmtId="164" fontId="2" fillId="6" borderId="5" xfId="0" applyNumberFormat="1" applyFont="1" applyFill="1" applyBorder="1" applyAlignment="1" applyProtection="1">
      <alignment horizontal="center" vertical="center"/>
      <protection locked="0"/>
    </xf>
    <xf numFmtId="1" fontId="12" fillId="6" borderId="5" xfId="2" applyNumberFormat="1" applyFont="1" applyFill="1" applyBorder="1" applyAlignment="1" applyProtection="1">
      <alignment horizontal="center" vertical="center"/>
      <protection locked="0"/>
    </xf>
    <xf numFmtId="0" fontId="12" fillId="6" borderId="5" xfId="2" applyFont="1" applyFill="1" applyBorder="1" applyAlignment="1" applyProtection="1">
      <alignment horizontal="center" vertical="center"/>
      <protection locked="0"/>
    </xf>
    <xf numFmtId="0" fontId="16" fillId="2" borderId="22" xfId="0" applyFont="1" applyFill="1" applyBorder="1" applyAlignment="1" applyProtection="1">
      <alignment horizontal="center" vertical="center"/>
      <protection locked="0"/>
    </xf>
    <xf numFmtId="0" fontId="35" fillId="0" borderId="0" xfId="3" applyFont="1" applyAlignment="1" applyProtection="1">
      <alignment horizontal="left" vertical="center"/>
      <protection locked="0"/>
    </xf>
    <xf numFmtId="0" fontId="35" fillId="0" borderId="0" xfId="3" applyFont="1" applyAlignment="1" applyProtection="1">
      <alignment horizontal="left" vertical="center"/>
    </xf>
    <xf numFmtId="0" fontId="27" fillId="7" borderId="23" xfId="4" applyFont="1" applyFill="1" applyBorder="1" applyAlignment="1" applyProtection="1">
      <alignment horizontal="center" vertical="center"/>
      <protection locked="0"/>
    </xf>
    <xf numFmtId="0" fontId="27" fillId="7" borderId="24" xfId="4" applyFont="1" applyFill="1" applyBorder="1" applyAlignment="1" applyProtection="1">
      <alignment horizontal="center" vertical="center"/>
      <protection locked="0"/>
    </xf>
    <xf numFmtId="0" fontId="14" fillId="0" borderId="0" xfId="3" applyAlignment="1" applyProtection="1">
      <alignment horizontal="left" vertical="center"/>
    </xf>
    <xf numFmtId="173" fontId="16" fillId="0" borderId="5" xfId="1" applyNumberFormat="1" applyFont="1" applyBorder="1" applyAlignment="1" applyProtection="1">
      <alignment horizontal="center" vertical="center"/>
    </xf>
    <xf numFmtId="166" fontId="16" fillId="6" borderId="5" xfId="0" applyNumberFormat="1" applyFont="1" applyFill="1" applyBorder="1" applyAlignment="1" applyProtection="1">
      <alignment horizontal="center" vertical="center" wrapText="1"/>
      <protection locked="0"/>
    </xf>
    <xf numFmtId="166" fontId="16" fillId="6" borderId="5" xfId="0" applyNumberFormat="1" applyFont="1" applyFill="1" applyBorder="1" applyAlignment="1" applyProtection="1">
      <alignment horizontal="center" vertical="center"/>
      <protection locked="0"/>
    </xf>
    <xf numFmtId="0" fontId="21" fillId="6" borderId="5" xfId="0" applyFont="1" applyFill="1" applyBorder="1" applyAlignment="1" applyProtection="1">
      <alignment horizontal="center" vertical="center"/>
      <protection locked="0"/>
    </xf>
    <xf numFmtId="0" fontId="18" fillId="0" borderId="0" xfId="3" applyFont="1" applyAlignment="1" applyProtection="1">
      <alignment horizontal="center" vertical="center"/>
    </xf>
    <xf numFmtId="2" fontId="8" fillId="9" borderId="11" xfId="0" applyNumberFormat="1" applyFont="1" applyFill="1" applyBorder="1" applyAlignment="1" applyProtection="1">
      <alignment horizontal="center" vertical="center"/>
      <protection locked="0"/>
    </xf>
    <xf numFmtId="2" fontId="8" fillId="9" borderId="12" xfId="0" applyNumberFormat="1" applyFont="1" applyFill="1" applyBorder="1" applyAlignment="1" applyProtection="1">
      <alignment horizontal="center" vertical="center"/>
      <protection locked="0"/>
    </xf>
    <xf numFmtId="2" fontId="8" fillId="9" borderId="13" xfId="0" applyNumberFormat="1" applyFont="1" applyFill="1" applyBorder="1" applyAlignment="1" applyProtection="1">
      <alignment horizontal="center" vertical="center"/>
      <protection locked="0"/>
    </xf>
    <xf numFmtId="166" fontId="8" fillId="9" borderId="11" xfId="0" applyNumberFormat="1" applyFont="1" applyFill="1" applyBorder="1" applyAlignment="1" applyProtection="1">
      <alignment horizontal="center" vertical="center"/>
      <protection locked="0"/>
    </xf>
    <xf numFmtId="166" fontId="8" fillId="9" borderId="12" xfId="0" applyNumberFormat="1" applyFont="1" applyFill="1" applyBorder="1" applyAlignment="1" applyProtection="1">
      <alignment horizontal="center" vertical="center"/>
      <protection locked="0"/>
    </xf>
    <xf numFmtId="166" fontId="8" fillId="9" borderId="13" xfId="0" applyNumberFormat="1" applyFont="1" applyFill="1" applyBorder="1" applyAlignment="1" applyProtection="1">
      <alignment horizontal="center" vertical="center"/>
      <protection locked="0"/>
    </xf>
    <xf numFmtId="0" fontId="20" fillId="6" borderId="5" xfId="0" applyFont="1" applyFill="1" applyBorder="1" applyAlignment="1" applyProtection="1">
      <alignment horizontal="center" vertical="center"/>
      <protection locked="0"/>
    </xf>
    <xf numFmtId="0" fontId="21" fillId="6" borderId="11" xfId="0" applyFont="1" applyFill="1" applyBorder="1" applyAlignment="1" applyProtection="1">
      <alignment horizontal="center" vertical="center"/>
      <protection locked="0"/>
    </xf>
    <xf numFmtId="0" fontId="21" fillId="6" borderId="13" xfId="0" applyFont="1" applyFill="1" applyBorder="1" applyAlignment="1" applyProtection="1">
      <alignment horizontal="center" vertical="center"/>
      <protection locked="0"/>
    </xf>
    <xf numFmtId="0" fontId="0" fillId="9" borderId="5" xfId="0" applyFill="1" applyBorder="1" applyAlignment="1" applyProtection="1">
      <alignment horizontal="center"/>
      <protection locked="0"/>
    </xf>
    <xf numFmtId="0" fontId="0" fillId="0" borderId="0" xfId="0" applyAlignment="1" applyProtection="1">
      <alignment horizontal="left"/>
    </xf>
    <xf numFmtId="0" fontId="23" fillId="0" borderId="0" xfId="0" applyFont="1" applyAlignment="1" applyProtection="1">
      <alignment horizontal="left"/>
    </xf>
    <xf numFmtId="0" fontId="2" fillId="0" borderId="0" xfId="0" applyFont="1" applyAlignment="1" applyProtection="1">
      <alignment horizontal="center" vertical="center"/>
    </xf>
    <xf numFmtId="0" fontId="0" fillId="0" borderId="0" xfId="0" applyAlignment="1" applyProtection="1">
      <alignment horizontal="left" vertical="center"/>
    </xf>
    <xf numFmtId="0" fontId="0" fillId="6" borderId="0" xfId="0" applyFill="1" applyAlignment="1" applyProtection="1">
      <alignment horizontal="left" vertical="center"/>
    </xf>
    <xf numFmtId="0" fontId="0" fillId="2" borderId="0" xfId="0" applyFill="1" applyAlignment="1" applyProtection="1">
      <alignment horizontal="left" vertical="center"/>
    </xf>
    <xf numFmtId="0" fontId="2" fillId="0" borderId="0" xfId="0" applyFont="1" applyAlignment="1" applyProtection="1">
      <alignment horizontal="left" vertical="center"/>
    </xf>
    <xf numFmtId="0" fontId="0" fillId="0" borderId="0" xfId="0" applyAlignment="1" applyProtection="1">
      <alignment horizontal="center" vertical="center"/>
    </xf>
    <xf numFmtId="0" fontId="17" fillId="0" borderId="0" xfId="0" applyFont="1" applyAlignment="1" applyProtection="1">
      <alignment vertical="center"/>
    </xf>
    <xf numFmtId="0" fontId="16" fillId="0" borderId="0" xfId="0" applyFont="1" applyProtection="1"/>
    <xf numFmtId="0" fontId="0" fillId="0" borderId="0" xfId="0" applyProtection="1"/>
    <xf numFmtId="0" fontId="16" fillId="0" borderId="0" xfId="0" applyFont="1" applyAlignment="1" applyProtection="1">
      <alignment horizontal="center" vertical="center"/>
    </xf>
    <xf numFmtId="0" fontId="16" fillId="0" borderId="1" xfId="0" applyFont="1" applyBorder="1" applyAlignment="1" applyProtection="1">
      <alignment vertical="center"/>
    </xf>
    <xf numFmtId="0" fontId="16" fillId="0" borderId="2" xfId="0" applyFont="1" applyBorder="1" applyProtection="1"/>
    <xf numFmtId="0" fontId="16" fillId="0" borderId="3" xfId="0" applyFont="1" applyBorder="1" applyProtection="1"/>
    <xf numFmtId="0" fontId="16" fillId="0" borderId="4" xfId="0" applyFont="1" applyBorder="1" applyAlignment="1" applyProtection="1">
      <alignment vertical="center"/>
    </xf>
    <xf numFmtId="0" fontId="19" fillId="0" borderId="0" xfId="0" applyFont="1" applyAlignment="1" applyProtection="1">
      <alignment vertical="center"/>
    </xf>
    <xf numFmtId="0" fontId="16" fillId="0" borderId="0" xfId="0" applyFont="1" applyAlignment="1" applyProtection="1">
      <alignment vertical="center"/>
    </xf>
    <xf numFmtId="0" fontId="16" fillId="0" borderId="6" xfId="0" applyFont="1" applyBorder="1" applyAlignment="1" applyProtection="1">
      <alignment vertical="center"/>
    </xf>
    <xf numFmtId="0" fontId="16" fillId="0" borderId="5" xfId="0" applyFont="1" applyBorder="1" applyAlignment="1" applyProtection="1">
      <alignment horizontal="center" vertical="center"/>
    </xf>
    <xf numFmtId="0" fontId="16" fillId="0" borderId="5" xfId="0" applyFont="1" applyBorder="1" applyAlignment="1" applyProtection="1">
      <alignment vertical="center"/>
    </xf>
    <xf numFmtId="0" fontId="19" fillId="0" borderId="11" xfId="0" applyFont="1" applyBorder="1" applyAlignment="1" applyProtection="1">
      <alignment horizontal="center" vertical="center"/>
    </xf>
    <xf numFmtId="0" fontId="19" fillId="0" borderId="12" xfId="0" applyFont="1" applyBorder="1" applyAlignment="1" applyProtection="1">
      <alignment horizontal="center" vertical="center"/>
    </xf>
    <xf numFmtId="0" fontId="19" fillId="0" borderId="13" xfId="0" applyFont="1" applyBorder="1" applyAlignment="1" applyProtection="1">
      <alignment horizontal="center" vertical="center"/>
    </xf>
    <xf numFmtId="0" fontId="19" fillId="0" borderId="11" xfId="0" applyFont="1" applyBorder="1" applyAlignment="1" applyProtection="1">
      <alignment horizontal="center"/>
    </xf>
    <xf numFmtId="0" fontId="19" fillId="0" borderId="12" xfId="0" applyFont="1" applyBorder="1" applyAlignment="1" applyProtection="1">
      <alignment horizontal="center"/>
    </xf>
    <xf numFmtId="0" fontId="19" fillId="0" borderId="13" xfId="0" applyFont="1" applyBorder="1" applyAlignment="1" applyProtection="1">
      <alignment horizontal="center"/>
    </xf>
    <xf numFmtId="0" fontId="19" fillId="0" borderId="5" xfId="0" applyFont="1" applyBorder="1" applyAlignment="1" applyProtection="1">
      <alignment horizontal="center" vertical="center"/>
    </xf>
    <xf numFmtId="0" fontId="16" fillId="0" borderId="1" xfId="0" applyFont="1" applyBorder="1" applyProtection="1"/>
    <xf numFmtId="0" fontId="16" fillId="0" borderId="15" xfId="0" applyFont="1" applyBorder="1" applyProtection="1"/>
    <xf numFmtId="0" fontId="21" fillId="0" borderId="0" xfId="0" applyFont="1" applyAlignment="1" applyProtection="1">
      <alignment horizontal="center" vertical="center"/>
    </xf>
    <xf numFmtId="0" fontId="16" fillId="0" borderId="16" xfId="0" applyFont="1" applyBorder="1" applyAlignment="1" applyProtection="1">
      <alignment vertical="center"/>
    </xf>
    <xf numFmtId="0" fontId="19" fillId="0" borderId="5" xfId="0" applyFont="1" applyBorder="1" applyAlignment="1" applyProtection="1">
      <alignment vertical="center"/>
    </xf>
    <xf numFmtId="0" fontId="16" fillId="0" borderId="9" xfId="0" applyFont="1" applyBorder="1" applyAlignment="1" applyProtection="1">
      <alignment vertical="center"/>
    </xf>
    <xf numFmtId="0" fontId="16" fillId="0" borderId="8" xfId="0" applyFont="1" applyBorder="1" applyAlignment="1" applyProtection="1">
      <alignment vertical="center"/>
    </xf>
    <xf numFmtId="0" fontId="16" fillId="0" borderId="10" xfId="0" applyFont="1" applyBorder="1" applyAlignment="1" applyProtection="1">
      <alignment vertical="center"/>
    </xf>
    <xf numFmtId="0" fontId="16" fillId="0" borderId="14" xfId="0" applyFont="1" applyBorder="1" applyAlignment="1" applyProtection="1">
      <alignment vertical="center"/>
    </xf>
    <xf numFmtId="0" fontId="21" fillId="0" borderId="5" xfId="0" applyFont="1" applyBorder="1" applyAlignment="1" applyProtection="1">
      <alignment horizontal="center" vertical="center" wrapText="1"/>
    </xf>
    <xf numFmtId="0" fontId="21" fillId="0" borderId="5" xfId="0" applyFont="1" applyBorder="1" applyAlignment="1" applyProtection="1">
      <alignment horizontal="center" vertical="center"/>
    </xf>
    <xf numFmtId="0" fontId="21" fillId="0" borderId="5" xfId="0" applyFont="1" applyBorder="1" applyAlignment="1" applyProtection="1">
      <alignment horizontal="center" vertical="center"/>
    </xf>
    <xf numFmtId="0" fontId="16" fillId="0" borderId="9" xfId="0" applyFont="1" applyBorder="1" applyProtection="1"/>
    <xf numFmtId="0" fontId="16" fillId="0" borderId="8" xfId="0" applyFont="1" applyBorder="1" applyAlignment="1" applyProtection="1">
      <alignment horizontal="center" vertical="center"/>
    </xf>
    <xf numFmtId="0" fontId="16" fillId="0" borderId="2" xfId="0" applyFont="1" applyBorder="1" applyAlignment="1" applyProtection="1">
      <alignment horizontal="center" vertical="center"/>
    </xf>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6" fillId="0" borderId="4" xfId="0" applyFont="1" applyBorder="1" applyProtection="1"/>
    <xf numFmtId="0" fontId="22" fillId="0" borderId="5" xfId="0" applyFont="1" applyBorder="1" applyAlignment="1" applyProtection="1">
      <alignment horizontal="center" vertical="center"/>
    </xf>
    <xf numFmtId="0" fontId="19" fillId="0" borderId="22" xfId="0" applyFont="1" applyBorder="1" applyAlignment="1" applyProtection="1">
      <alignment horizontal="center" vertical="center"/>
    </xf>
    <xf numFmtId="0" fontId="16" fillId="0" borderId="23" xfId="0" applyFont="1" applyBorder="1" applyAlignment="1" applyProtection="1">
      <alignment vertical="center"/>
    </xf>
    <xf numFmtId="0" fontId="16" fillId="0" borderId="14" xfId="0" applyFont="1" applyBorder="1" applyAlignment="1" applyProtection="1">
      <alignment horizontal="center" vertical="center"/>
    </xf>
    <xf numFmtId="0" fontId="22" fillId="0" borderId="5" xfId="0" applyFont="1" applyBorder="1" applyAlignment="1" applyProtection="1">
      <alignment horizontal="center" vertical="center" wrapText="1"/>
    </xf>
    <xf numFmtId="0" fontId="22" fillId="0" borderId="5" xfId="0" applyFont="1" applyBorder="1" applyAlignment="1" applyProtection="1">
      <alignment horizontal="center" vertical="center" wrapText="1"/>
    </xf>
    <xf numFmtId="0" fontId="16" fillId="0" borderId="0" xfId="0" applyFont="1" applyAlignment="1" applyProtection="1">
      <alignment horizontal="left" vertical="center"/>
    </xf>
    <xf numFmtId="0" fontId="19" fillId="0" borderId="8" xfId="0" applyFont="1" applyBorder="1" applyAlignment="1" applyProtection="1">
      <alignment horizontal="center" vertical="center"/>
    </xf>
    <xf numFmtId="0" fontId="19" fillId="0" borderId="0" xfId="0" applyFont="1" applyAlignment="1" applyProtection="1">
      <alignment horizontal="left" vertical="center"/>
    </xf>
    <xf numFmtId="0" fontId="19" fillId="0" borderId="1" xfId="0" applyFont="1" applyBorder="1" applyAlignment="1" applyProtection="1">
      <alignment horizontal="center" vertical="center" wrapText="1"/>
    </xf>
    <xf numFmtId="0" fontId="19" fillId="0" borderId="2" xfId="0" applyFont="1" applyBorder="1" applyAlignment="1" applyProtection="1">
      <alignment horizontal="center" vertical="center" wrapText="1"/>
    </xf>
    <xf numFmtId="0" fontId="19" fillId="0" borderId="3" xfId="0" applyFont="1" applyBorder="1" applyAlignment="1" applyProtection="1">
      <alignment horizontal="center" vertical="center" wrapText="1"/>
    </xf>
    <xf numFmtId="0" fontId="2" fillId="0" borderId="5" xfId="0" applyFont="1" applyBorder="1" applyAlignment="1" applyProtection="1">
      <alignment horizontal="center" vertical="center"/>
    </xf>
    <xf numFmtId="0" fontId="19" fillId="0" borderId="11" xfId="0" applyFont="1" applyBorder="1" applyAlignment="1" applyProtection="1">
      <alignment vertical="center"/>
    </xf>
    <xf numFmtId="0" fontId="16" fillId="0" borderId="13" xfId="0" applyFont="1" applyBorder="1" applyAlignment="1" applyProtection="1">
      <alignment vertical="center"/>
    </xf>
    <xf numFmtId="0" fontId="19" fillId="0" borderId="4" xfId="0" applyFont="1" applyBorder="1" applyAlignment="1" applyProtection="1">
      <alignment horizontal="center" vertical="center" wrapText="1"/>
    </xf>
    <xf numFmtId="0" fontId="19" fillId="0" borderId="0" xfId="0" applyFont="1" applyAlignment="1" applyProtection="1">
      <alignment horizontal="center" vertical="center" wrapText="1"/>
    </xf>
    <xf numFmtId="0" fontId="19" fillId="0" borderId="6" xfId="0" applyFont="1" applyBorder="1" applyAlignment="1" applyProtection="1">
      <alignment horizontal="center" vertical="center" wrapText="1"/>
    </xf>
    <xf numFmtId="0" fontId="2" fillId="0" borderId="5" xfId="0" applyFont="1" applyBorder="1" applyAlignment="1" applyProtection="1">
      <alignment horizontal="center" vertical="center"/>
    </xf>
    <xf numFmtId="0" fontId="16" fillId="5" borderId="5" xfId="0" applyFont="1" applyFill="1" applyBorder="1" applyAlignment="1" applyProtection="1">
      <alignment horizontal="center" vertical="center"/>
    </xf>
    <xf numFmtId="0" fontId="16" fillId="0" borderId="0" xfId="0" applyFont="1" applyAlignment="1" applyProtection="1">
      <alignment horizontal="center" vertical="center"/>
    </xf>
    <xf numFmtId="0" fontId="0" fillId="0" borderId="5" xfId="0" applyBorder="1" applyAlignment="1" applyProtection="1">
      <alignment horizontal="center" vertical="center"/>
    </xf>
    <xf numFmtId="1" fontId="0" fillId="0" borderId="5" xfId="0" applyNumberFormat="1" applyBorder="1" applyAlignment="1" applyProtection="1">
      <alignment horizontal="center" vertical="center"/>
    </xf>
    <xf numFmtId="0" fontId="0" fillId="0" borderId="4" xfId="0" applyBorder="1" applyProtection="1"/>
    <xf numFmtId="0" fontId="0" fillId="0" borderId="6" xfId="0" applyBorder="1" applyProtection="1"/>
    <xf numFmtId="0" fontId="19" fillId="0" borderId="4" xfId="0" applyFont="1" applyBorder="1" applyAlignment="1" applyProtection="1">
      <alignment horizontal="center" vertical="center"/>
    </xf>
    <xf numFmtId="0" fontId="19" fillId="0" borderId="0" xfId="0" applyFont="1" applyAlignment="1" applyProtection="1">
      <alignment horizontal="center" vertical="center"/>
    </xf>
    <xf numFmtId="0" fontId="19" fillId="0" borderId="6" xfId="0" applyFont="1" applyBorder="1" applyAlignment="1" applyProtection="1">
      <alignment horizontal="center" vertical="center"/>
    </xf>
    <xf numFmtId="0" fontId="16" fillId="5" borderId="5" xfId="0" applyFont="1" applyFill="1" applyBorder="1" applyAlignment="1" applyProtection="1">
      <alignment vertical="center"/>
    </xf>
    <xf numFmtId="0" fontId="16" fillId="5" borderId="5" xfId="0" applyFont="1" applyFill="1" applyBorder="1" applyAlignment="1" applyProtection="1">
      <alignment horizontal="left" vertical="center"/>
    </xf>
    <xf numFmtId="1" fontId="19" fillId="0" borderId="5" xfId="0" applyNumberFormat="1" applyFont="1" applyBorder="1" applyAlignment="1" applyProtection="1">
      <alignment horizontal="center" vertical="center"/>
    </xf>
    <xf numFmtId="0" fontId="16" fillId="0" borderId="5" xfId="0" applyFont="1" applyBorder="1" applyAlignment="1" applyProtection="1">
      <alignment horizontal="left" vertical="center"/>
    </xf>
    <xf numFmtId="0" fontId="19" fillId="0" borderId="5" xfId="0" applyFont="1" applyBorder="1" applyAlignment="1" applyProtection="1">
      <alignment horizontal="center" vertical="center"/>
    </xf>
    <xf numFmtId="166" fontId="16" fillId="0" borderId="5" xfId="0" applyNumberFormat="1" applyFont="1" applyBorder="1" applyAlignment="1" applyProtection="1">
      <alignment horizontal="center" vertical="center"/>
    </xf>
    <xf numFmtId="1" fontId="16" fillId="0" borderId="5" xfId="0" applyNumberFormat="1" applyFont="1" applyBorder="1" applyAlignment="1" applyProtection="1">
      <alignment horizontal="center" vertical="center"/>
    </xf>
    <xf numFmtId="1" fontId="16" fillId="0" borderId="0" xfId="0" applyNumberFormat="1" applyFont="1" applyAlignment="1" applyProtection="1">
      <alignment horizontal="center" vertical="center"/>
    </xf>
    <xf numFmtId="0" fontId="16" fillId="0" borderId="6" xfId="0" applyFont="1" applyBorder="1" applyAlignment="1" applyProtection="1">
      <alignment horizontal="left" vertical="center"/>
    </xf>
    <xf numFmtId="0" fontId="2" fillId="0" borderId="5" xfId="0" applyFont="1" applyBorder="1" applyAlignment="1" applyProtection="1">
      <alignment horizontal="center"/>
    </xf>
    <xf numFmtId="0" fontId="0" fillId="0" borderId="5" xfId="0" applyBorder="1" applyAlignment="1" applyProtection="1">
      <alignment horizontal="center"/>
    </xf>
    <xf numFmtId="0" fontId="0" fillId="0" borderId="0" xfId="0" applyAlignment="1" applyProtection="1">
      <alignment horizontal="center"/>
    </xf>
    <xf numFmtId="0" fontId="16" fillId="5" borderId="5" xfId="0" applyFont="1" applyFill="1" applyBorder="1" applyAlignment="1" applyProtection="1">
      <alignment horizontal="center"/>
    </xf>
    <xf numFmtId="0" fontId="16" fillId="0" borderId="0" xfId="0" applyFont="1" applyAlignment="1" applyProtection="1">
      <alignment horizontal="left"/>
    </xf>
    <xf numFmtId="0" fontId="17" fillId="0" borderId="0" xfId="0" applyFont="1" applyAlignment="1" applyProtection="1">
      <alignment horizontal="left" vertical="center"/>
    </xf>
    <xf numFmtId="0" fontId="22" fillId="0" borderId="5" xfId="0" applyFont="1" applyBorder="1" applyAlignment="1" applyProtection="1">
      <alignment horizontal="center" vertical="center"/>
    </xf>
    <xf numFmtId="0" fontId="21" fillId="0" borderId="15"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2"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10" borderId="5" xfId="0" applyFont="1" applyFill="1" applyBorder="1" applyAlignment="1" applyProtection="1">
      <alignment horizontal="center" vertical="center"/>
    </xf>
    <xf numFmtId="0" fontId="21" fillId="10" borderId="24" xfId="0" applyFont="1" applyFill="1" applyBorder="1" applyAlignment="1" applyProtection="1">
      <alignment horizontal="center" vertical="center"/>
    </xf>
    <xf numFmtId="0" fontId="21" fillId="10" borderId="23" xfId="0" applyFont="1" applyFill="1" applyBorder="1" applyAlignment="1" applyProtection="1">
      <alignment horizontal="center" vertical="center"/>
    </xf>
    <xf numFmtId="0" fontId="21" fillId="20" borderId="5" xfId="0" applyFont="1" applyFill="1" applyBorder="1" applyAlignment="1" applyProtection="1">
      <alignment horizontal="center" vertical="center"/>
    </xf>
    <xf numFmtId="0" fontId="21" fillId="20" borderId="24" xfId="0" applyFont="1" applyFill="1" applyBorder="1" applyAlignment="1" applyProtection="1">
      <alignment horizontal="center" vertical="center"/>
    </xf>
    <xf numFmtId="0" fontId="21" fillId="20" borderId="23" xfId="0" applyFont="1" applyFill="1" applyBorder="1" applyAlignment="1" applyProtection="1">
      <alignment horizontal="center" vertical="center"/>
    </xf>
    <xf numFmtId="0" fontId="21" fillId="10" borderId="49" xfId="0" applyFont="1" applyFill="1" applyBorder="1" applyAlignment="1" applyProtection="1">
      <alignment horizontal="center" vertical="center"/>
    </xf>
    <xf numFmtId="0" fontId="21" fillId="0" borderId="26" xfId="0" applyFont="1" applyBorder="1" applyAlignment="1" applyProtection="1">
      <alignment horizontal="center" vertical="center"/>
    </xf>
    <xf numFmtId="0" fontId="21" fillId="10" borderId="26" xfId="0" applyFont="1" applyFill="1" applyBorder="1" applyAlignment="1" applyProtection="1">
      <alignment horizontal="center" vertical="center"/>
    </xf>
    <xf numFmtId="0" fontId="27" fillId="0" borderId="5" xfId="0" applyFont="1" applyBorder="1" applyAlignment="1" applyProtection="1">
      <alignment horizontal="center" vertical="center" wrapText="1"/>
    </xf>
    <xf numFmtId="0" fontId="27" fillId="0" borderId="5" xfId="0" applyFont="1" applyBorder="1" applyAlignment="1" applyProtection="1">
      <alignment horizontal="center" vertical="center" wrapText="1"/>
    </xf>
    <xf numFmtId="0" fontId="17" fillId="0" borderId="0" xfId="0" applyFont="1" applyAlignment="1" applyProtection="1">
      <alignment horizontal="left" vertical="center"/>
    </xf>
    <xf numFmtId="0" fontId="21" fillId="0" borderId="5" xfId="0" applyFont="1" applyBorder="1" applyAlignment="1" applyProtection="1">
      <alignment horizontal="center" vertical="center" wrapText="1"/>
    </xf>
    <xf numFmtId="0" fontId="22" fillId="11" borderId="5" xfId="0" applyFont="1" applyFill="1" applyBorder="1" applyAlignment="1" applyProtection="1">
      <alignment horizontal="center" vertical="center"/>
    </xf>
    <xf numFmtId="0" fontId="22" fillId="12" borderId="5" xfId="0" applyFont="1" applyFill="1" applyBorder="1" applyAlignment="1" applyProtection="1">
      <alignment horizontal="center" vertical="center"/>
    </xf>
    <xf numFmtId="0" fontId="22" fillId="13" borderId="5" xfId="0" applyFont="1" applyFill="1" applyBorder="1" applyAlignment="1" applyProtection="1">
      <alignment horizontal="center" vertical="center"/>
    </xf>
    <xf numFmtId="0" fontId="22" fillId="14" borderId="5" xfId="0" applyFont="1" applyFill="1" applyBorder="1" applyAlignment="1" applyProtection="1">
      <alignment horizontal="center" vertical="center"/>
    </xf>
    <xf numFmtId="0" fontId="22" fillId="15" borderId="5" xfId="0" applyFont="1" applyFill="1" applyBorder="1" applyAlignment="1" applyProtection="1">
      <alignment horizontal="center" vertical="center"/>
    </xf>
    <xf numFmtId="0" fontId="22" fillId="16" borderId="5" xfId="0" applyFont="1" applyFill="1" applyBorder="1" applyAlignment="1" applyProtection="1">
      <alignment horizontal="center" vertical="center"/>
    </xf>
    <xf numFmtId="0" fontId="22" fillId="17" borderId="5" xfId="0" applyFont="1" applyFill="1" applyBorder="1" applyAlignment="1" applyProtection="1">
      <alignment horizontal="center" vertical="center"/>
    </xf>
    <xf numFmtId="0" fontId="22" fillId="18" borderId="5" xfId="0" applyFont="1" applyFill="1" applyBorder="1" applyAlignment="1" applyProtection="1">
      <alignment horizontal="center" vertical="center"/>
    </xf>
    <xf numFmtId="0" fontId="21" fillId="0" borderId="0" xfId="0" applyFont="1" applyAlignment="1" applyProtection="1">
      <alignment horizontal="left" vertical="center"/>
    </xf>
    <xf numFmtId="0" fontId="21" fillId="0" borderId="0" xfId="0" applyFont="1" applyProtection="1"/>
    <xf numFmtId="0" fontId="22" fillId="0" borderId="15" xfId="0" applyFont="1" applyBorder="1" applyAlignment="1" applyProtection="1">
      <alignment horizontal="center" vertical="center"/>
    </xf>
    <xf numFmtId="0" fontId="21" fillId="0" borderId="11" xfId="0" applyFont="1" applyBorder="1" applyAlignment="1" applyProtection="1">
      <alignment horizontal="center" vertical="center"/>
    </xf>
    <xf numFmtId="0" fontId="21" fillId="0" borderId="12" xfId="0" applyFont="1" applyBorder="1" applyAlignment="1" applyProtection="1">
      <alignment horizontal="center" vertical="center"/>
    </xf>
    <xf numFmtId="0" fontId="22" fillId="0" borderId="12" xfId="0" applyFont="1" applyBorder="1" applyAlignment="1" applyProtection="1">
      <alignment horizontal="center" vertical="center"/>
    </xf>
    <xf numFmtId="0" fontId="21" fillId="0" borderId="13" xfId="0" applyFont="1" applyBorder="1" applyAlignment="1" applyProtection="1">
      <alignment horizontal="center" vertical="center"/>
    </xf>
    <xf numFmtId="0" fontId="22" fillId="0" borderId="0" xfId="0" applyFont="1" applyAlignment="1" applyProtection="1">
      <alignment horizontal="center" vertical="center"/>
    </xf>
    <xf numFmtId="0" fontId="21" fillId="0" borderId="4" xfId="0" applyFont="1" applyBorder="1" applyProtection="1"/>
    <xf numFmtId="0" fontId="24" fillId="0" borderId="0" xfId="4" applyFont="1" applyAlignment="1" applyProtection="1">
      <alignment horizontal="center" vertical="center"/>
    </xf>
    <xf numFmtId="0" fontId="34" fillId="0" borderId="0" xfId="4" applyFont="1" applyAlignment="1" applyProtection="1">
      <alignment horizontal="center" vertical="center"/>
    </xf>
    <xf numFmtId="0" fontId="24" fillId="0" borderId="0" xfId="4" applyFont="1" applyAlignment="1" applyProtection="1">
      <alignment horizontal="left" vertical="center"/>
    </xf>
    <xf numFmtId="0" fontId="27" fillId="0" borderId="0" xfId="4" applyFont="1" applyAlignment="1" applyProtection="1">
      <alignment horizontal="center" vertical="center"/>
    </xf>
    <xf numFmtId="0" fontId="34" fillId="0" borderId="0" xfId="4" applyFont="1" applyAlignment="1" applyProtection="1">
      <alignment horizontal="center" vertical="center"/>
    </xf>
    <xf numFmtId="0" fontId="27" fillId="0" borderId="0" xfId="4" applyFont="1" applyAlignment="1" applyProtection="1">
      <alignment horizontal="left" vertical="center"/>
    </xf>
    <xf numFmtId="0" fontId="24" fillId="0" borderId="15" xfId="4" applyFont="1" applyBorder="1" applyAlignment="1" applyProtection="1">
      <alignment horizontal="center" vertical="center"/>
    </xf>
    <xf numFmtId="0" fontId="24" fillId="0" borderId="5" xfId="4" applyFont="1" applyBorder="1" applyAlignment="1" applyProtection="1">
      <alignment horizontal="center" vertical="center"/>
    </xf>
    <xf numFmtId="0" fontId="27" fillId="0" borderId="5" xfId="4" applyFont="1" applyBorder="1" applyAlignment="1" applyProtection="1">
      <alignment horizontal="center" vertical="center"/>
    </xf>
    <xf numFmtId="0" fontId="27" fillId="0" borderId="15" xfId="4" applyFont="1" applyBorder="1" applyAlignment="1" applyProtection="1">
      <alignment horizontal="center" vertical="center"/>
    </xf>
    <xf numFmtId="0" fontId="24" fillId="0" borderId="16" xfId="4" applyFont="1" applyBorder="1" applyAlignment="1" applyProtection="1">
      <alignment horizontal="center" vertical="center"/>
    </xf>
    <xf numFmtId="0" fontId="27" fillId="0" borderId="16" xfId="4" applyFont="1" applyBorder="1" applyAlignment="1" applyProtection="1">
      <alignment horizontal="center" vertical="center"/>
    </xf>
    <xf numFmtId="0" fontId="24" fillId="0" borderId="14" xfId="4" applyFont="1" applyBorder="1" applyAlignment="1" applyProtection="1">
      <alignment horizontal="center" vertical="center"/>
    </xf>
    <xf numFmtId="0" fontId="27" fillId="0" borderId="14" xfId="4" applyFont="1" applyBorder="1" applyAlignment="1" applyProtection="1">
      <alignment horizontal="center" vertical="center"/>
    </xf>
    <xf numFmtId="0" fontId="27" fillId="0" borderId="23" xfId="4" applyFont="1" applyBorder="1" applyAlignment="1" applyProtection="1">
      <alignment horizontal="center" vertical="center"/>
    </xf>
    <xf numFmtId="0" fontId="24" fillId="0" borderId="20" xfId="4" applyFont="1" applyBorder="1" applyAlignment="1" applyProtection="1">
      <alignment horizontal="center" vertical="center"/>
    </xf>
    <xf numFmtId="0" fontId="24" fillId="0" borderId="7" xfId="4" applyFont="1" applyBorder="1" applyAlignment="1" applyProtection="1">
      <alignment horizontal="center" vertical="center"/>
    </xf>
    <xf numFmtId="0" fontId="24" fillId="0" borderId="19" xfId="4" applyFont="1" applyBorder="1" applyAlignment="1" applyProtection="1">
      <alignment horizontal="center" vertical="center"/>
    </xf>
    <xf numFmtId="0" fontId="27" fillId="0" borderId="29" xfId="4" applyFont="1" applyBorder="1" applyAlignment="1" applyProtection="1">
      <alignment horizontal="center" vertical="center"/>
    </xf>
    <xf numFmtId="0" fontId="24" fillId="0" borderId="30" xfId="4" applyFont="1" applyBorder="1" applyAlignment="1" applyProtection="1">
      <alignment horizontal="center" vertical="center"/>
    </xf>
    <xf numFmtId="0" fontId="24" fillId="0" borderId="31" xfId="4" applyFont="1" applyBorder="1" applyAlignment="1" applyProtection="1">
      <alignment horizontal="center" vertical="center"/>
    </xf>
    <xf numFmtId="0" fontId="24" fillId="0" borderId="29" xfId="4" applyFont="1" applyBorder="1" applyAlignment="1" applyProtection="1">
      <alignment horizontal="center" vertical="center"/>
    </xf>
    <xf numFmtId="0" fontId="27" fillId="0" borderId="30" xfId="4" applyFont="1" applyBorder="1" applyAlignment="1" applyProtection="1">
      <alignment horizontal="center" vertical="center"/>
    </xf>
    <xf numFmtId="0" fontId="24" fillId="0" borderId="32" xfId="4" applyFont="1" applyBorder="1" applyAlignment="1" applyProtection="1">
      <alignment horizontal="center" vertical="center"/>
    </xf>
    <xf numFmtId="0" fontId="24" fillId="0" borderId="21" xfId="4" applyFont="1" applyBorder="1" applyAlignment="1" applyProtection="1">
      <alignment horizontal="center" vertical="center"/>
    </xf>
    <xf numFmtId="0" fontId="27" fillId="0" borderId="33" xfId="4" applyFont="1" applyBorder="1" applyAlignment="1" applyProtection="1">
      <alignment horizontal="center" vertical="center"/>
    </xf>
    <xf numFmtId="0" fontId="24" fillId="0" borderId="34" xfId="4" applyFont="1" applyBorder="1" applyAlignment="1" applyProtection="1">
      <alignment horizontal="center" vertical="center"/>
    </xf>
    <xf numFmtId="0" fontId="24" fillId="0" borderId="35" xfId="4" applyFont="1" applyBorder="1" applyAlignment="1" applyProtection="1">
      <alignment horizontal="center" vertical="center"/>
    </xf>
    <xf numFmtId="0" fontId="24" fillId="0" borderId="36" xfId="4" applyFont="1" applyBorder="1" applyAlignment="1" applyProtection="1">
      <alignment horizontal="center" vertical="center"/>
    </xf>
    <xf numFmtId="0" fontId="27" fillId="0" borderId="34" xfId="4" applyFont="1" applyBorder="1" applyAlignment="1" applyProtection="1">
      <alignment horizontal="center" vertical="center"/>
    </xf>
    <xf numFmtId="0" fontId="24" fillId="0" borderId="37" xfId="4" applyFont="1" applyBorder="1" applyAlignment="1" applyProtection="1">
      <alignment horizontal="center" vertical="center"/>
    </xf>
    <xf numFmtId="0" fontId="24" fillId="0" borderId="38" xfId="4" applyFont="1" applyBorder="1" applyAlignment="1" applyProtection="1">
      <alignment horizontal="center" vertical="center"/>
    </xf>
    <xf numFmtId="0" fontId="27" fillId="0" borderId="17" xfId="4" applyFont="1" applyBorder="1" applyAlignment="1" applyProtection="1">
      <alignment horizontal="center" vertical="center"/>
    </xf>
    <xf numFmtId="0" fontId="24" fillId="0" borderId="18" xfId="4" applyFont="1" applyBorder="1" applyAlignment="1" applyProtection="1">
      <alignment horizontal="center" vertical="center"/>
    </xf>
    <xf numFmtId="0" fontId="24" fillId="0" borderId="17" xfId="4" applyFont="1" applyBorder="1" applyAlignment="1" applyProtection="1">
      <alignment horizontal="center" vertical="center"/>
    </xf>
    <xf numFmtId="0" fontId="27" fillId="0" borderId="18" xfId="4" applyFont="1" applyBorder="1" applyAlignment="1" applyProtection="1">
      <alignment horizontal="center" vertical="center"/>
    </xf>
    <xf numFmtId="0" fontId="24" fillId="0" borderId="39" xfId="4" applyFont="1" applyBorder="1" applyAlignment="1" applyProtection="1">
      <alignment horizontal="center" vertical="center"/>
    </xf>
    <xf numFmtId="0" fontId="24" fillId="0" borderId="40" xfId="4" applyFont="1" applyBorder="1" applyAlignment="1" applyProtection="1">
      <alignment horizontal="center" vertical="center"/>
    </xf>
    <xf numFmtId="0" fontId="6" fillId="0" borderId="0" xfId="2" applyFont="1" applyProtection="1"/>
    <xf numFmtId="0" fontId="5" fillId="0" borderId="0" xfId="2" applyFont="1" applyProtection="1"/>
    <xf numFmtId="0" fontId="7" fillId="0" borderId="0" xfId="2" applyFont="1" applyProtection="1"/>
    <xf numFmtId="0" fontId="5" fillId="0" borderId="5" xfId="2" applyFont="1" applyBorder="1" applyProtection="1"/>
    <xf numFmtId="1" fontId="7" fillId="0" borderId="5" xfId="2" applyNumberFormat="1" applyFont="1" applyBorder="1" applyProtection="1"/>
    <xf numFmtId="1" fontId="7" fillId="0" borderId="0" xfId="2" applyNumberFormat="1" applyFont="1" applyProtection="1"/>
    <xf numFmtId="1" fontId="5" fillId="0" borderId="0" xfId="2" applyNumberFormat="1" applyFont="1" applyProtection="1"/>
    <xf numFmtId="0" fontId="24" fillId="0" borderId="0" xfId="0" applyFont="1" applyAlignment="1" applyProtection="1">
      <alignment vertical="center"/>
    </xf>
    <xf numFmtId="0" fontId="25" fillId="0" borderId="0" xfId="0" applyFont="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center" vertical="center"/>
    </xf>
    <xf numFmtId="0" fontId="24" fillId="0" borderId="0" xfId="0" applyFont="1" applyAlignment="1" applyProtection="1">
      <alignment horizontal="center" vertical="center"/>
    </xf>
    <xf numFmtId="0" fontId="27" fillId="0" borderId="8" xfId="0" applyFont="1" applyBorder="1" applyAlignment="1" applyProtection="1">
      <alignment horizontal="center" vertical="center"/>
    </xf>
    <xf numFmtId="0" fontId="24" fillId="0" borderId="5" xfId="0" applyFont="1" applyBorder="1" applyAlignment="1" applyProtection="1">
      <alignment horizontal="left" vertical="center"/>
    </xf>
    <xf numFmtId="0" fontId="27" fillId="0" borderId="11" xfId="0" applyFont="1" applyBorder="1" applyAlignment="1" applyProtection="1">
      <alignment horizontal="center" vertical="center"/>
    </xf>
    <xf numFmtId="0" fontId="27" fillId="0" borderId="13" xfId="0" applyFont="1" applyBorder="1" applyAlignment="1" applyProtection="1">
      <alignment horizontal="center" vertical="center"/>
    </xf>
    <xf numFmtId="0" fontId="27" fillId="0" borderId="0" xfId="0" applyFont="1" applyAlignment="1" applyProtection="1">
      <alignment horizontal="center" vertical="center"/>
    </xf>
    <xf numFmtId="168" fontId="24" fillId="0" borderId="5" xfId="0" applyNumberFormat="1" applyFont="1" applyBorder="1" applyAlignment="1" applyProtection="1">
      <alignment vertical="center"/>
    </xf>
    <xf numFmtId="168" fontId="24" fillId="0" borderId="0" xfId="0" applyNumberFormat="1" applyFont="1" applyAlignment="1" applyProtection="1">
      <alignment vertical="center"/>
    </xf>
    <xf numFmtId="167" fontId="24" fillId="0" borderId="5" xfId="0" applyNumberFormat="1" applyFont="1" applyBorder="1" applyAlignment="1" applyProtection="1">
      <alignment vertical="center"/>
    </xf>
    <xf numFmtId="167" fontId="24" fillId="0" borderId="0" xfId="0" applyNumberFormat="1" applyFont="1" applyAlignment="1" applyProtection="1">
      <alignment vertical="center"/>
    </xf>
    <xf numFmtId="168" fontId="27" fillId="0" borderId="9" xfId="0" applyNumberFormat="1" applyFont="1" applyBorder="1" applyAlignment="1" applyProtection="1">
      <alignment horizontal="center" vertical="center"/>
    </xf>
    <xf numFmtId="167" fontId="27" fillId="0" borderId="10" xfId="0" applyNumberFormat="1" applyFont="1" applyBorder="1" applyAlignment="1" applyProtection="1">
      <alignment horizontal="center" vertical="center"/>
    </xf>
    <xf numFmtId="167" fontId="27" fillId="0" borderId="9" xfId="0" applyNumberFormat="1" applyFont="1" applyBorder="1" applyAlignment="1" applyProtection="1">
      <alignment horizontal="center" vertical="center"/>
    </xf>
    <xf numFmtId="0" fontId="27" fillId="0" borderId="5" xfId="0" applyFont="1" applyBorder="1" applyAlignment="1" applyProtection="1">
      <alignment horizontal="center" vertical="center"/>
    </xf>
    <xf numFmtId="0" fontId="24" fillId="0" borderId="0" xfId="0" applyFont="1" applyAlignment="1" applyProtection="1">
      <alignment horizontal="left" vertical="center"/>
    </xf>
    <xf numFmtId="168" fontId="24" fillId="0" borderId="0" xfId="0" applyNumberFormat="1" applyFont="1" applyAlignment="1" applyProtection="1">
      <alignment horizontal="right" vertical="center"/>
    </xf>
    <xf numFmtId="0" fontId="24" fillId="0" borderId="0" xfId="0" applyFont="1" applyAlignment="1" applyProtection="1">
      <alignment horizontal="center" vertical="center" wrapText="1"/>
    </xf>
    <xf numFmtId="168" fontId="24" fillId="0" borderId="0" xfId="0" applyNumberFormat="1" applyFont="1" applyAlignment="1" applyProtection="1">
      <alignment horizontal="center" vertical="center" wrapText="1"/>
    </xf>
    <xf numFmtId="0" fontId="27" fillId="0" borderId="5" xfId="0" applyFont="1" applyBorder="1" applyAlignment="1" applyProtection="1">
      <alignment horizontal="center" vertical="center"/>
    </xf>
    <xf numFmtId="0" fontId="24" fillId="0" borderId="15" xfId="0" applyFont="1" applyBorder="1" applyAlignment="1" applyProtection="1">
      <alignment horizontal="center" vertical="center"/>
    </xf>
    <xf numFmtId="0" fontId="24" fillId="0" borderId="1" xfId="0" applyFont="1" applyBorder="1" applyAlignment="1" applyProtection="1">
      <alignment horizontal="center" vertical="center"/>
    </xf>
    <xf numFmtId="0" fontId="27" fillId="0" borderId="4" xfId="0" applyFont="1" applyBorder="1" applyAlignment="1" applyProtection="1">
      <alignment horizontal="center" vertical="center"/>
    </xf>
    <xf numFmtId="0" fontId="27" fillId="0" borderId="6" xfId="0" applyFont="1" applyBorder="1" applyAlignment="1" applyProtection="1">
      <alignment horizontal="center" vertical="center"/>
    </xf>
    <xf numFmtId="0" fontId="24" fillId="0" borderId="16" xfId="0" applyFont="1" applyBorder="1" applyAlignment="1" applyProtection="1">
      <alignment horizontal="center" vertical="center"/>
    </xf>
    <xf numFmtId="0" fontId="24" fillId="0" borderId="4"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0" xfId="0" applyFont="1" applyBorder="1" applyAlignment="1" applyProtection="1">
      <alignment horizontal="center" vertical="center"/>
    </xf>
    <xf numFmtId="0" fontId="24" fillId="0" borderId="5" xfId="0" applyFont="1" applyBorder="1" applyAlignment="1" applyProtection="1">
      <alignment horizontal="center" vertical="center"/>
    </xf>
    <xf numFmtId="1" fontId="24" fillId="0" borderId="5" xfId="0" applyNumberFormat="1" applyFont="1" applyBorder="1" applyAlignment="1" applyProtection="1">
      <alignment horizontal="center" vertical="center"/>
    </xf>
    <xf numFmtId="169" fontId="24" fillId="0" borderId="0" xfId="0" applyNumberFormat="1" applyFont="1" applyAlignment="1" applyProtection="1">
      <alignment vertical="center"/>
    </xf>
    <xf numFmtId="0" fontId="24" fillId="0" borderId="0" xfId="0" applyFont="1" applyAlignment="1" applyProtection="1">
      <alignment vertical="center" wrapText="1"/>
    </xf>
    <xf numFmtId="0" fontId="49" fillId="0" borderId="0" xfId="0" applyFont="1" applyAlignment="1" applyProtection="1">
      <alignment vertical="center"/>
    </xf>
    <xf numFmtId="0" fontId="20" fillId="0" borderId="0" xfId="0" applyFont="1" applyAlignment="1" applyProtection="1">
      <alignment horizontal="center" vertical="center" wrapText="1"/>
    </xf>
    <xf numFmtId="0" fontId="20" fillId="0" borderId="0" xfId="0" applyFont="1" applyAlignment="1" applyProtection="1">
      <alignment vertical="center" wrapText="1"/>
    </xf>
    <xf numFmtId="0" fontId="46" fillId="0" borderId="0" xfId="0" applyFont="1" applyAlignment="1" applyProtection="1">
      <alignment horizontal="center" vertical="center" wrapText="1"/>
    </xf>
    <xf numFmtId="0" fontId="46" fillId="0" borderId="0" xfId="0" applyFont="1" applyAlignment="1" applyProtection="1">
      <alignment vertical="center" wrapText="1"/>
    </xf>
    <xf numFmtId="0" fontId="46" fillId="0" borderId="0" xfId="0" applyFont="1" applyAlignment="1" applyProtection="1">
      <alignment horizontal="center" vertical="center" wrapText="1"/>
    </xf>
    <xf numFmtId="0" fontId="16" fillId="0" borderId="0" xfId="0" applyFont="1" applyAlignment="1" applyProtection="1">
      <alignment horizontal="center" vertical="center" wrapText="1"/>
    </xf>
    <xf numFmtId="0" fontId="16" fillId="0" borderId="5" xfId="0" applyFont="1" applyBorder="1" applyAlignment="1" applyProtection="1">
      <alignment horizontal="left" vertical="center"/>
    </xf>
    <xf numFmtId="0" fontId="19" fillId="0" borderId="5" xfId="0" applyFont="1" applyBorder="1" applyAlignment="1" applyProtection="1">
      <alignment horizontal="left" vertical="center"/>
    </xf>
    <xf numFmtId="0" fontId="19" fillId="0" borderId="0" xfId="0" applyFont="1" applyAlignment="1" applyProtection="1">
      <alignment horizontal="left" vertical="center"/>
    </xf>
    <xf numFmtId="0" fontId="16" fillId="21" borderId="0" xfId="0" applyFont="1" applyFill="1" applyAlignment="1" applyProtection="1">
      <alignment horizontal="center" vertical="center" wrapText="1"/>
    </xf>
    <xf numFmtId="0" fontId="52" fillId="0" borderId="0" xfId="0" applyFont="1" applyAlignment="1" applyProtection="1">
      <alignment vertical="center"/>
    </xf>
    <xf numFmtId="0" fontId="51" fillId="0" borderId="0" xfId="3" applyFont="1" applyAlignment="1" applyProtection="1">
      <alignment horizontal="center" vertical="center"/>
    </xf>
    <xf numFmtId="166" fontId="16" fillId="0" borderId="0" xfId="0" applyNumberFormat="1" applyFont="1" applyAlignment="1" applyProtection="1">
      <alignment vertical="center"/>
    </xf>
    <xf numFmtId="0" fontId="42" fillId="0" borderId="0" xfId="0" applyFont="1" applyAlignment="1" applyProtection="1">
      <alignment vertical="center"/>
    </xf>
    <xf numFmtId="0" fontId="16" fillId="0" borderId="0" xfId="0" applyFont="1" applyAlignment="1" applyProtection="1">
      <alignment vertical="center" wrapText="1"/>
    </xf>
    <xf numFmtId="0" fontId="16" fillId="0" borderId="5" xfId="0" applyFont="1" applyBorder="1" applyAlignment="1" applyProtection="1">
      <alignment horizontal="left" vertical="center" wrapText="1"/>
    </xf>
    <xf numFmtId="0" fontId="0" fillId="0" borderId="0" xfId="0" applyAlignment="1" applyProtection="1">
      <alignment vertical="center"/>
    </xf>
    <xf numFmtId="0" fontId="42" fillId="0" borderId="0" xfId="0" applyFont="1" applyAlignment="1" applyProtection="1">
      <alignment horizontal="center" vertical="center"/>
    </xf>
    <xf numFmtId="0" fontId="50" fillId="0" borderId="0" xfId="0" applyFont="1" applyAlignment="1" applyProtection="1">
      <alignment vertical="center"/>
    </xf>
    <xf numFmtId="0" fontId="21" fillId="0" borderId="0" xfId="0" applyFont="1" applyAlignment="1" applyProtection="1">
      <alignment vertical="center"/>
    </xf>
    <xf numFmtId="0" fontId="22" fillId="0" borderId="0" xfId="0" applyFont="1" applyAlignment="1" applyProtection="1">
      <alignment vertical="center"/>
    </xf>
    <xf numFmtId="0" fontId="4" fillId="0" borderId="0" xfId="2" applyAlignment="1" applyProtection="1">
      <alignment vertical="center"/>
    </xf>
    <xf numFmtId="0" fontId="12" fillId="0" borderId="0" xfId="2" applyFont="1" applyAlignment="1" applyProtection="1">
      <alignment horizontal="right" vertical="center" wrapText="1"/>
    </xf>
    <xf numFmtId="0" fontId="4" fillId="0" borderId="0" xfId="2" applyAlignment="1" applyProtection="1">
      <alignment horizontal="center" vertical="center"/>
    </xf>
    <xf numFmtId="1" fontId="21" fillId="0" borderId="5" xfId="0" applyNumberFormat="1" applyFont="1" applyBorder="1" applyAlignment="1" applyProtection="1">
      <alignment horizontal="center" vertical="center"/>
    </xf>
    <xf numFmtId="1" fontId="21" fillId="0" borderId="0" xfId="0" applyNumberFormat="1" applyFont="1" applyAlignment="1" applyProtection="1">
      <alignment horizontal="center" vertical="center"/>
    </xf>
    <xf numFmtId="0" fontId="22" fillId="0" borderId="11" xfId="0" applyFont="1" applyBorder="1" applyAlignment="1" applyProtection="1">
      <alignment horizontal="center" vertical="center"/>
    </xf>
    <xf numFmtId="0" fontId="22" fillId="0" borderId="12" xfId="0" applyFont="1" applyBorder="1" applyAlignment="1" applyProtection="1">
      <alignment horizontal="center" vertical="center"/>
    </xf>
    <xf numFmtId="0" fontId="22" fillId="0" borderId="13" xfId="0" applyFont="1" applyBorder="1" applyAlignment="1" applyProtection="1">
      <alignment horizontal="center" vertical="center"/>
    </xf>
    <xf numFmtId="0" fontId="53" fillId="0" borderId="0" xfId="0" applyFont="1" applyAlignment="1" applyProtection="1">
      <alignment horizontal="center" vertical="center"/>
    </xf>
    <xf numFmtId="0" fontId="28" fillId="0" borderId="1" xfId="0" applyFont="1" applyBorder="1" applyAlignment="1" applyProtection="1">
      <alignment horizontal="center" vertical="center" wrapText="1"/>
    </xf>
    <xf numFmtId="0" fontId="28" fillId="0" borderId="2" xfId="0" applyFont="1" applyBorder="1" applyAlignment="1" applyProtection="1">
      <alignment horizontal="center" vertical="center" wrapText="1"/>
    </xf>
    <xf numFmtId="0" fontId="28" fillId="0" borderId="3" xfId="0" applyFont="1" applyBorder="1" applyAlignment="1" applyProtection="1">
      <alignment horizontal="center" vertical="center" wrapText="1"/>
    </xf>
    <xf numFmtId="0" fontId="28" fillId="0" borderId="4" xfId="0" applyFont="1" applyBorder="1" applyAlignment="1" applyProtection="1">
      <alignment horizontal="center" vertical="center" wrapText="1"/>
    </xf>
    <xf numFmtId="0" fontId="28" fillId="0" borderId="0" xfId="0" applyFont="1" applyAlignment="1" applyProtection="1">
      <alignment horizontal="center" vertical="center" wrapText="1"/>
    </xf>
    <xf numFmtId="0" fontId="28" fillId="0" borderId="6" xfId="0" applyFont="1" applyBorder="1" applyAlignment="1" applyProtection="1">
      <alignment horizontal="center" vertical="center" wrapText="1"/>
    </xf>
    <xf numFmtId="0" fontId="28" fillId="0" borderId="9" xfId="0" applyFont="1" applyBorder="1" applyAlignment="1" applyProtection="1">
      <alignment horizontal="center" vertical="center" wrapText="1"/>
    </xf>
    <xf numFmtId="0" fontId="28" fillId="0" borderId="8" xfId="0" applyFont="1" applyBorder="1" applyAlignment="1" applyProtection="1">
      <alignment horizontal="center" vertical="center" wrapText="1"/>
    </xf>
    <xf numFmtId="0" fontId="28" fillId="0" borderId="10" xfId="0" applyFont="1" applyBorder="1" applyAlignment="1" applyProtection="1">
      <alignment horizontal="center" vertical="center" wrapText="1"/>
    </xf>
    <xf numFmtId="0" fontId="21" fillId="0" borderId="0" xfId="0" applyFont="1" applyAlignment="1" applyProtection="1">
      <alignment horizontal="center" vertical="center"/>
      <protection locked="0"/>
    </xf>
    <xf numFmtId="0" fontId="22" fillId="0" borderId="0" xfId="0" applyFont="1" applyProtection="1"/>
    <xf numFmtId="0" fontId="22" fillId="0" borderId="0" xfId="0" applyFont="1" applyAlignment="1" applyProtection="1">
      <alignment horizontal="center"/>
    </xf>
    <xf numFmtId="0" fontId="54" fillId="0" borderId="0" xfId="0" applyFont="1" applyAlignment="1" applyProtection="1">
      <alignment vertical="center"/>
    </xf>
    <xf numFmtId="0" fontId="28" fillId="0" borderId="0" xfId="0" applyFont="1" applyAlignment="1" applyProtection="1">
      <alignment vertical="center" wrapText="1"/>
    </xf>
    <xf numFmtId="0" fontId="28" fillId="0" borderId="0" xfId="0" applyFont="1" applyAlignment="1" applyProtection="1">
      <alignment vertical="center"/>
    </xf>
    <xf numFmtId="0" fontId="21" fillId="0" borderId="1" xfId="0" applyFont="1" applyBorder="1" applyAlignment="1" applyProtection="1">
      <alignment vertical="center"/>
    </xf>
    <xf numFmtId="0" fontId="21" fillId="0" borderId="3" xfId="0" applyFont="1" applyBorder="1" applyProtection="1"/>
    <xf numFmtId="0" fontId="21" fillId="0" borderId="4" xfId="0" applyFont="1" applyBorder="1" applyAlignment="1" applyProtection="1">
      <alignment vertical="center"/>
    </xf>
    <xf numFmtId="0" fontId="21" fillId="0" borderId="6" xfId="0" applyFont="1" applyBorder="1" applyProtection="1"/>
    <xf numFmtId="0" fontId="21" fillId="0" borderId="4" xfId="0" applyFont="1" applyBorder="1" applyAlignment="1" applyProtection="1">
      <alignment horizontal="left" vertical="center" wrapText="1"/>
    </xf>
    <xf numFmtId="0" fontId="21" fillId="0" borderId="0" xfId="0" applyFont="1" applyAlignment="1" applyProtection="1">
      <alignment horizontal="left" vertical="center" wrapText="1"/>
    </xf>
    <xf numFmtId="0" fontId="21" fillId="0" borderId="6" xfId="0" applyFont="1" applyBorder="1" applyAlignment="1" applyProtection="1">
      <alignment horizontal="left" vertical="center" wrapText="1"/>
    </xf>
    <xf numFmtId="0" fontId="34" fillId="0" borderId="0" xfId="0" applyFont="1" applyAlignment="1" applyProtection="1">
      <alignment vertical="center" wrapText="1"/>
    </xf>
    <xf numFmtId="0" fontId="21" fillId="0" borderId="9" xfId="0" applyFont="1" applyBorder="1" applyAlignment="1" applyProtection="1">
      <alignment horizontal="left" vertical="center" wrapText="1"/>
    </xf>
    <xf numFmtId="0" fontId="21" fillId="0" borderId="8" xfId="0" applyFont="1" applyBorder="1" applyAlignment="1" applyProtection="1">
      <alignment horizontal="left" vertical="center" wrapText="1"/>
    </xf>
    <xf numFmtId="0" fontId="21" fillId="0" borderId="10" xfId="0" applyFont="1" applyBorder="1" applyAlignment="1" applyProtection="1">
      <alignment horizontal="left" vertical="center" wrapText="1"/>
    </xf>
    <xf numFmtId="0" fontId="4" fillId="0" borderId="0" xfId="2" applyAlignment="1" applyProtection="1">
      <alignment horizontal="center" vertical="center" wrapText="1"/>
    </xf>
    <xf numFmtId="0" fontId="4" fillId="0" borderId="5" xfId="2" applyBorder="1" applyAlignment="1" applyProtection="1">
      <alignment horizontal="center" vertical="center" wrapText="1"/>
    </xf>
    <xf numFmtId="0" fontId="4" fillId="0" borderId="5" xfId="2" applyBorder="1" applyAlignment="1" applyProtection="1">
      <alignment vertical="center"/>
    </xf>
    <xf numFmtId="0" fontId="4" fillId="0" borderId="0" xfId="2" applyAlignment="1" applyProtection="1">
      <alignment horizontal="center" vertical="center" wrapText="1"/>
    </xf>
    <xf numFmtId="0" fontId="4" fillId="0" borderId="1" xfId="2" applyBorder="1" applyAlignment="1" applyProtection="1">
      <alignment horizontal="center" vertical="center" wrapText="1"/>
    </xf>
    <xf numFmtId="0" fontId="4" fillId="0" borderId="2" xfId="2" applyBorder="1" applyAlignment="1" applyProtection="1">
      <alignment horizontal="center" vertical="center" wrapText="1"/>
    </xf>
    <xf numFmtId="0" fontId="4" fillId="0" borderId="3" xfId="2" applyBorder="1" applyAlignment="1" applyProtection="1">
      <alignment horizontal="center" vertical="center" wrapText="1"/>
    </xf>
    <xf numFmtId="0" fontId="4" fillId="0" borderId="4" xfId="2" applyBorder="1" applyAlignment="1" applyProtection="1">
      <alignment horizontal="center" vertical="center" wrapText="1"/>
    </xf>
    <xf numFmtId="0" fontId="4" fillId="0" borderId="6" xfId="2" applyBorder="1" applyAlignment="1" applyProtection="1">
      <alignment horizontal="center" vertical="center" wrapText="1"/>
    </xf>
    <xf numFmtId="0" fontId="4" fillId="0" borderId="5" xfId="2" applyBorder="1" applyAlignment="1" applyProtection="1">
      <alignment horizontal="center" vertical="center" wrapText="1"/>
    </xf>
    <xf numFmtId="0" fontId="4" fillId="0" borderId="9" xfId="2" applyBorder="1" applyAlignment="1" applyProtection="1">
      <alignment horizontal="center" vertical="center" wrapText="1"/>
    </xf>
    <xf numFmtId="0" fontId="4" fillId="0" borderId="8" xfId="2" applyBorder="1" applyAlignment="1" applyProtection="1">
      <alignment horizontal="center" vertical="center" wrapText="1"/>
    </xf>
    <xf numFmtId="0" fontId="4" fillId="0" borderId="10" xfId="2" applyBorder="1" applyAlignment="1" applyProtection="1">
      <alignment horizontal="center" vertical="center" wrapText="1"/>
    </xf>
    <xf numFmtId="0" fontId="4" fillId="0" borderId="0" xfId="2" applyAlignment="1" applyProtection="1">
      <alignment vertical="center" wrapText="1"/>
    </xf>
    <xf numFmtId="1" fontId="12" fillId="0" borderId="0" xfId="2" applyNumberFormat="1" applyFont="1" applyAlignment="1" applyProtection="1">
      <alignment horizontal="center" vertical="center"/>
    </xf>
    <xf numFmtId="166" fontId="12" fillId="0" borderId="5" xfId="2" applyNumberFormat="1" applyFont="1" applyBorder="1" applyAlignment="1" applyProtection="1">
      <alignment horizontal="center" vertical="center"/>
    </xf>
    <xf numFmtId="1" fontId="12" fillId="0" borderId="5" xfId="2" applyNumberFormat="1" applyFont="1" applyBorder="1" applyAlignment="1" applyProtection="1">
      <alignment horizontal="center" vertical="center"/>
    </xf>
    <xf numFmtId="2" fontId="4" fillId="0" borderId="0" xfId="2" applyNumberFormat="1" applyAlignment="1" applyProtection="1">
      <alignment vertical="center"/>
    </xf>
    <xf numFmtId="172" fontId="4" fillId="0" borderId="0" xfId="2" applyNumberFormat="1" applyAlignment="1" applyProtection="1">
      <alignment vertical="center"/>
    </xf>
    <xf numFmtId="0" fontId="55" fillId="0" borderId="0" xfId="2" applyFont="1" applyAlignment="1" applyProtection="1">
      <alignment vertical="center" wrapText="1"/>
    </xf>
    <xf numFmtId="0" fontId="36" fillId="0" borderId="0" xfId="3" applyFont="1" applyAlignment="1" applyProtection="1">
      <alignment horizontal="center" vertical="center"/>
    </xf>
    <xf numFmtId="0" fontId="45" fillId="0" borderId="0" xfId="0" applyFont="1" applyProtection="1"/>
    <xf numFmtId="0" fontId="42" fillId="0" borderId="0" xfId="0" applyFont="1" applyProtection="1"/>
    <xf numFmtId="3" fontId="22" fillId="0" borderId="5" xfId="0" applyNumberFormat="1" applyFont="1" applyBorder="1" applyAlignment="1" applyProtection="1">
      <alignment horizontal="center" vertical="center"/>
    </xf>
    <xf numFmtId="0" fontId="22" fillId="0" borderId="0" xfId="0" applyFont="1" applyAlignment="1" applyProtection="1">
      <alignment horizontal="left" vertical="center"/>
    </xf>
    <xf numFmtId="0" fontId="21" fillId="0" borderId="0" xfId="0" applyFont="1" applyAlignment="1" applyProtection="1">
      <alignment horizontal="center" vertical="center" wrapText="1"/>
    </xf>
    <xf numFmtId="0" fontId="21" fillId="0" borderId="0" xfId="0" applyFont="1" applyAlignment="1" applyProtection="1">
      <alignment vertical="top" wrapText="1"/>
    </xf>
    <xf numFmtId="0" fontId="21" fillId="0" borderId="0" xfId="0" applyFont="1" applyAlignment="1" applyProtection="1">
      <alignment horizontal="left" vertical="top" wrapText="1"/>
    </xf>
    <xf numFmtId="0" fontId="19" fillId="0" borderId="0" xfId="0" applyFont="1" applyAlignment="1" applyProtection="1">
      <alignment horizontal="left" vertical="center" wrapText="1"/>
    </xf>
    <xf numFmtId="0" fontId="16" fillId="0" borderId="0" xfId="0" applyFont="1" applyAlignment="1" applyProtection="1">
      <alignment horizontal="left" vertical="top" wrapText="1"/>
    </xf>
    <xf numFmtId="0" fontId="16" fillId="0" borderId="0" xfId="0" applyFont="1" applyAlignment="1" applyProtection="1">
      <alignment horizontal="left" vertical="top" wrapText="1"/>
    </xf>
    <xf numFmtId="0" fontId="43" fillId="0" borderId="0" xfId="0" applyFont="1" applyProtection="1"/>
    <xf numFmtId="0" fontId="19" fillId="0" borderId="0" xfId="0" applyFont="1" applyAlignment="1" applyProtection="1">
      <alignment horizontal="center" vertical="center"/>
    </xf>
    <xf numFmtId="3" fontId="21" fillId="0" borderId="5" xfId="0" applyNumberFormat="1" applyFont="1" applyBorder="1" applyAlignment="1" applyProtection="1">
      <alignment horizontal="center" vertical="center"/>
    </xf>
    <xf numFmtId="174" fontId="21" fillId="0" borderId="5" xfId="0" applyNumberFormat="1" applyFont="1" applyBorder="1" applyAlignment="1" applyProtection="1">
      <alignment horizontal="center" vertical="center"/>
    </xf>
    <xf numFmtId="174" fontId="21" fillId="0" borderId="5" xfId="0" applyNumberFormat="1" applyFont="1" applyBorder="1" applyAlignment="1" applyProtection="1">
      <alignment horizontal="center"/>
    </xf>
    <xf numFmtId="0" fontId="21" fillId="0" borderId="0" xfId="0" applyFont="1" applyAlignment="1" applyProtection="1">
      <alignment horizontal="center"/>
    </xf>
    <xf numFmtId="3" fontId="21" fillId="0" borderId="14" xfId="0" applyNumberFormat="1" applyFont="1" applyBorder="1" applyAlignment="1" applyProtection="1">
      <alignment horizontal="center" vertical="center"/>
    </xf>
    <xf numFmtId="0" fontId="31" fillId="0" borderId="0" xfId="0" applyFont="1" applyAlignment="1" applyProtection="1">
      <alignment vertical="center" wrapText="1"/>
    </xf>
    <xf numFmtId="0" fontId="32" fillId="0" borderId="0" xfId="2" applyFont="1" applyAlignment="1" applyProtection="1">
      <alignment vertical="center"/>
    </xf>
    <xf numFmtId="1" fontId="21" fillId="9" borderId="26" xfId="0" applyNumberFormat="1" applyFont="1" applyFill="1" applyBorder="1" applyAlignment="1" applyProtection="1">
      <alignment horizontal="center" vertical="center" wrapText="1"/>
    </xf>
    <xf numFmtId="0" fontId="12" fillId="0" borderId="0" xfId="2" applyFont="1" applyAlignment="1" applyProtection="1">
      <alignment horizontal="center" vertical="center" wrapText="1"/>
    </xf>
    <xf numFmtId="1" fontId="21" fillId="9" borderId="28" xfId="0" applyNumberFormat="1" applyFont="1" applyFill="1" applyBorder="1" applyAlignment="1" applyProtection="1">
      <alignment horizontal="center" vertical="center" wrapText="1"/>
    </xf>
    <xf numFmtId="0" fontId="21" fillId="0" borderId="0" xfId="0" applyFont="1" applyAlignment="1" applyProtection="1">
      <alignment horizontal="left" vertical="center" wrapText="1"/>
    </xf>
    <xf numFmtId="1" fontId="21" fillId="0" borderId="0" xfId="0" applyNumberFormat="1" applyFont="1" applyAlignment="1" applyProtection="1">
      <alignment horizontal="center" vertical="center" wrapText="1"/>
    </xf>
    <xf numFmtId="0" fontId="21" fillId="0" borderId="4" xfId="0" applyFont="1" applyBorder="1" applyAlignment="1" applyProtection="1">
      <alignment horizontal="center" vertical="center" wrapText="1"/>
    </xf>
    <xf numFmtId="0" fontId="21" fillId="0" borderId="6" xfId="0" applyFont="1" applyBorder="1" applyAlignment="1" applyProtection="1">
      <alignment horizontal="center" vertical="center" wrapText="1"/>
    </xf>
    <xf numFmtId="0" fontId="21" fillId="0" borderId="9"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1" fillId="0" borderId="10" xfId="0" applyFont="1" applyBorder="1" applyAlignment="1" applyProtection="1">
      <alignment horizontal="center" vertical="center" wrapText="1"/>
    </xf>
    <xf numFmtId="0" fontId="21" fillId="0" borderId="15" xfId="0" applyFont="1" applyBorder="1" applyAlignment="1" applyProtection="1">
      <alignment vertical="center"/>
    </xf>
    <xf numFmtId="0" fontId="24" fillId="0" borderId="5" xfId="0" applyFont="1" applyBorder="1" applyAlignment="1" applyProtection="1">
      <alignment horizontal="center" vertical="center" wrapText="1"/>
    </xf>
    <xf numFmtId="0" fontId="21" fillId="0" borderId="5" xfId="0" applyFont="1" applyBorder="1" applyAlignment="1" applyProtection="1">
      <alignment vertical="center"/>
    </xf>
    <xf numFmtId="0" fontId="33" fillId="0" borderId="0" xfId="0" applyFont="1" applyAlignment="1" applyProtection="1">
      <alignment horizontal="center" vertical="center"/>
    </xf>
    <xf numFmtId="0" fontId="21" fillId="0" borderId="14" xfId="0" applyFont="1" applyBorder="1" applyAlignment="1" applyProtection="1">
      <alignment vertical="center"/>
    </xf>
    <xf numFmtId="3" fontId="30" fillId="0" borderId="5" xfId="0" applyNumberFormat="1" applyFont="1" applyBorder="1" applyAlignment="1" applyProtection="1">
      <alignment horizontal="center" vertical="center"/>
      <protection locked="0"/>
    </xf>
    <xf numFmtId="3" fontId="30" fillId="0" borderId="14" xfId="0" applyNumberFormat="1" applyFont="1" applyBorder="1" applyAlignment="1" applyProtection="1">
      <alignment horizontal="center" vertical="center"/>
      <protection locked="0"/>
    </xf>
    <xf numFmtId="0" fontId="2" fillId="0" borderId="5" xfId="0" applyFont="1" applyBorder="1" applyAlignment="1" applyProtection="1">
      <alignment horizontal="center" vertical="center" wrapText="1"/>
    </xf>
    <xf numFmtId="164" fontId="2" fillId="0" borderId="5" xfId="0" applyNumberFormat="1" applyFont="1" applyBorder="1" applyAlignment="1" applyProtection="1">
      <alignment horizontal="center" vertical="center"/>
    </xf>
    <xf numFmtId="171" fontId="2" fillId="0" borderId="5" xfId="0" applyNumberFormat="1" applyFont="1" applyBorder="1" applyAlignment="1" applyProtection="1">
      <alignment horizontal="center" vertical="center"/>
    </xf>
    <xf numFmtId="2" fontId="0" fillId="0" borderId="0" xfId="0" applyNumberFormat="1" applyAlignment="1" applyProtection="1">
      <alignment horizontal="center" vertical="center"/>
    </xf>
    <xf numFmtId="0" fontId="10" fillId="0" borderId="0" xfId="0" applyFont="1" applyAlignment="1" applyProtection="1">
      <alignment horizontal="center" vertical="center"/>
    </xf>
    <xf numFmtId="2" fontId="11" fillId="0" borderId="0" xfId="0" applyNumberFormat="1" applyFont="1" applyAlignment="1" applyProtection="1">
      <alignment horizontal="center" vertical="center"/>
    </xf>
    <xf numFmtId="2" fontId="2" fillId="0" borderId="0" xfId="0" applyNumberFormat="1" applyFont="1" applyAlignment="1" applyProtection="1">
      <alignment horizontal="center" vertical="center"/>
    </xf>
    <xf numFmtId="171" fontId="0" fillId="0" borderId="5" xfId="0" applyNumberFormat="1" applyBorder="1" applyAlignment="1" applyProtection="1">
      <alignment horizontal="center" vertical="center"/>
    </xf>
    <xf numFmtId="170" fontId="0" fillId="0" borderId="5" xfId="0" applyNumberFormat="1" applyBorder="1" applyAlignment="1" applyProtection="1">
      <alignment horizontal="center" vertical="center"/>
    </xf>
    <xf numFmtId="171" fontId="2" fillId="3" borderId="5" xfId="0" applyNumberFormat="1" applyFont="1" applyFill="1" applyBorder="1" applyAlignment="1" applyProtection="1">
      <alignment horizontal="center" vertical="center"/>
    </xf>
    <xf numFmtId="164" fontId="2" fillId="3" borderId="5" xfId="0" applyNumberFormat="1" applyFont="1" applyFill="1" applyBorder="1" applyAlignment="1" applyProtection="1">
      <alignment horizontal="center" vertical="center"/>
    </xf>
    <xf numFmtId="171" fontId="0" fillId="0" borderId="0" xfId="0" applyNumberFormat="1" applyAlignment="1" applyProtection="1">
      <alignment horizontal="center" vertical="center"/>
    </xf>
    <xf numFmtId="170" fontId="0" fillId="0" borderId="0" xfId="0" applyNumberFormat="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0" fillId="0" borderId="13" xfId="0" applyBorder="1" applyAlignment="1" applyProtection="1">
      <alignment horizontal="center" vertical="center"/>
    </xf>
    <xf numFmtId="0" fontId="44" fillId="0" borderId="0" xfId="0" applyFont="1" applyAlignment="1" applyProtection="1">
      <alignment horizontal="right" vertical="center"/>
    </xf>
    <xf numFmtId="0" fontId="44" fillId="0" borderId="18" xfId="0" applyFont="1" applyBorder="1" applyAlignment="1" applyProtection="1">
      <alignment horizontal="right" vertical="center"/>
    </xf>
    <xf numFmtId="0" fontId="44" fillId="0" borderId="4" xfId="0" applyFont="1" applyBorder="1" applyAlignment="1" applyProtection="1">
      <alignment horizontal="left" vertical="center"/>
    </xf>
    <xf numFmtId="0" fontId="44" fillId="0" borderId="0" xfId="0" applyFont="1" applyAlignment="1" applyProtection="1">
      <alignment horizontal="left" vertical="center"/>
    </xf>
    <xf numFmtId="0" fontId="44" fillId="0" borderId="0" xfId="0" applyFont="1" applyAlignment="1" applyProtection="1">
      <alignment horizontal="right" vertical="center"/>
    </xf>
    <xf numFmtId="0" fontId="44" fillId="0" borderId="17" xfId="0" applyFont="1" applyBorder="1" applyAlignment="1" applyProtection="1">
      <alignment horizontal="left" vertical="center"/>
    </xf>
    <xf numFmtId="0" fontId="44" fillId="0" borderId="0" xfId="0" applyFont="1" applyAlignment="1" applyProtection="1">
      <alignment horizontal="center" vertical="center"/>
    </xf>
    <xf numFmtId="0" fontId="36" fillId="0" borderId="0" xfId="0" applyFont="1" applyAlignment="1" applyProtection="1">
      <alignment horizontal="left" vertical="center"/>
    </xf>
    <xf numFmtId="0" fontId="37" fillId="0" borderId="0" xfId="0" applyFont="1" applyAlignment="1" applyProtection="1">
      <alignment horizontal="left"/>
    </xf>
    <xf numFmtId="0" fontId="3" fillId="0" borderId="0" xfId="0" applyFont="1" applyAlignment="1" applyProtection="1">
      <alignment horizontal="left" vertical="center"/>
    </xf>
    <xf numFmtId="0" fontId="8" fillId="0" borderId="0" xfId="0" applyFont="1" applyAlignment="1" applyProtection="1">
      <alignment vertical="center"/>
    </xf>
    <xf numFmtId="0" fontId="9" fillId="0" borderId="0" xfId="0" applyFont="1" applyAlignment="1" applyProtection="1">
      <alignment vertical="center"/>
    </xf>
    <xf numFmtId="0" fontId="7" fillId="0" borderId="0" xfId="0" applyFont="1" applyAlignment="1" applyProtection="1">
      <alignment horizontal="center" vertical="center"/>
    </xf>
    <xf numFmtId="0" fontId="8" fillId="0" borderId="11" xfId="0" applyFont="1" applyBorder="1" applyAlignment="1" applyProtection="1">
      <alignment horizontal="left" vertical="center"/>
    </xf>
    <xf numFmtId="0" fontId="8" fillId="0" borderId="12" xfId="0" applyFont="1" applyBorder="1" applyAlignment="1" applyProtection="1">
      <alignment horizontal="left" vertical="center"/>
    </xf>
    <xf numFmtId="0" fontId="8" fillId="0" borderId="13" xfId="0" applyFont="1" applyBorder="1" applyAlignment="1" applyProtection="1">
      <alignment horizontal="left" vertical="center"/>
    </xf>
    <xf numFmtId="0" fontId="9" fillId="0" borderId="0" xfId="0" applyFont="1" applyAlignment="1" applyProtection="1">
      <alignment horizontal="right" vertical="center"/>
    </xf>
    <xf numFmtId="0" fontId="8" fillId="0" borderId="5" xfId="0" applyFont="1" applyBorder="1" applyAlignment="1" applyProtection="1">
      <alignment vertical="center"/>
    </xf>
    <xf numFmtId="0" fontId="8" fillId="0" borderId="15" xfId="0" applyFont="1" applyBorder="1" applyAlignment="1" applyProtection="1">
      <alignment vertical="center"/>
    </xf>
    <xf numFmtId="0" fontId="8" fillId="0" borderId="5" xfId="0" applyFont="1" applyBorder="1" applyAlignment="1" applyProtection="1">
      <alignment horizontal="left" vertical="center"/>
    </xf>
    <xf numFmtId="166" fontId="8" fillId="0" borderId="11" xfId="0" applyNumberFormat="1" applyFont="1" applyBorder="1" applyAlignment="1" applyProtection="1">
      <alignment horizontal="center" vertical="center"/>
    </xf>
    <xf numFmtId="166" fontId="8" fillId="0" borderId="12" xfId="0" applyNumberFormat="1" applyFont="1" applyBorder="1" applyAlignment="1" applyProtection="1">
      <alignment horizontal="center" vertical="center"/>
    </xf>
    <xf numFmtId="166" fontId="8" fillId="0" borderId="13" xfId="0" applyNumberFormat="1" applyFont="1" applyBorder="1" applyAlignment="1" applyProtection="1">
      <alignment horizontal="center" vertical="center"/>
    </xf>
    <xf numFmtId="2" fontId="8" fillId="0" borderId="5" xfId="0" applyNumberFormat="1" applyFont="1" applyBorder="1" applyAlignment="1" applyProtection="1">
      <alignment horizontal="center" vertical="center"/>
    </xf>
    <xf numFmtId="0" fontId="7" fillId="0" borderId="5" xfId="0" applyFont="1" applyBorder="1" applyAlignment="1" applyProtection="1">
      <alignment horizontal="center" vertical="center"/>
    </xf>
    <xf numFmtId="0" fontId="9" fillId="0" borderId="11" xfId="0" applyFont="1" applyBorder="1" applyAlignment="1" applyProtection="1">
      <alignment horizontal="center" vertical="center"/>
    </xf>
    <xf numFmtId="0" fontId="9" fillId="0" borderId="13" xfId="0" applyFont="1" applyBorder="1" applyAlignment="1" applyProtection="1">
      <alignment horizontal="center" vertical="center"/>
    </xf>
    <xf numFmtId="0" fontId="9" fillId="0" borderId="0" xfId="0" applyFont="1" applyAlignment="1" applyProtection="1">
      <alignment vertical="center" wrapText="1"/>
    </xf>
    <xf numFmtId="2" fontId="9" fillId="0" borderId="5" xfId="0" applyNumberFormat="1" applyFont="1" applyBorder="1" applyAlignment="1" applyProtection="1">
      <alignment horizontal="center" vertical="center"/>
    </xf>
    <xf numFmtId="0" fontId="5" fillId="0" borderId="0" xfId="2" applyFont="1" applyAlignment="1" applyProtection="1">
      <alignment vertical="center"/>
    </xf>
    <xf numFmtId="0" fontId="8" fillId="0" borderId="0" xfId="0" applyFont="1" applyAlignment="1" applyProtection="1">
      <alignment horizontal="center" vertical="center"/>
    </xf>
    <xf numFmtId="0" fontId="36" fillId="0" borderId="0" xfId="0" applyFont="1" applyAlignment="1" applyProtection="1">
      <alignment vertical="top"/>
    </xf>
    <xf numFmtId="0" fontId="20" fillId="0" borderId="2" xfId="0" applyFont="1" applyBorder="1" applyAlignment="1" applyProtection="1">
      <alignment vertical="center"/>
    </xf>
    <xf numFmtId="0" fontId="21" fillId="0" borderId="2" xfId="0" applyFont="1" applyBorder="1" applyAlignment="1" applyProtection="1">
      <alignment vertical="center"/>
    </xf>
    <xf numFmtId="0" fontId="21" fillId="0" borderId="3" xfId="0" applyFont="1" applyBorder="1" applyAlignment="1" applyProtection="1">
      <alignment vertical="center"/>
    </xf>
    <xf numFmtId="0" fontId="20" fillId="0" borderId="1" xfId="0" applyFont="1" applyBorder="1" applyAlignment="1" applyProtection="1">
      <alignment horizontal="center" vertical="center" wrapText="1"/>
    </xf>
    <xf numFmtId="0" fontId="20" fillId="0" borderId="2" xfId="0" applyFont="1" applyBorder="1" applyAlignment="1" applyProtection="1">
      <alignment horizontal="center" vertical="center" wrapText="1"/>
    </xf>
    <xf numFmtId="0" fontId="20" fillId="0" borderId="3" xfId="0" applyFont="1" applyBorder="1" applyAlignment="1" applyProtection="1">
      <alignment horizontal="center" vertical="center" wrapText="1"/>
    </xf>
    <xf numFmtId="0" fontId="39" fillId="0" borderId="0" xfId="0" applyFont="1" applyAlignment="1" applyProtection="1">
      <alignment vertical="center"/>
    </xf>
    <xf numFmtId="0" fontId="20" fillId="0" borderId="0" xfId="0" applyFont="1" applyAlignment="1" applyProtection="1">
      <alignment vertical="center"/>
    </xf>
    <xf numFmtId="0" fontId="21" fillId="0" borderId="6" xfId="0" applyFont="1" applyBorder="1" applyAlignment="1" applyProtection="1">
      <alignment vertical="center"/>
    </xf>
    <xf numFmtId="0" fontId="20" fillId="0" borderId="4" xfId="0" applyFont="1" applyBorder="1" applyAlignment="1" applyProtection="1">
      <alignment horizontal="center" vertical="center" wrapText="1"/>
    </xf>
    <xf numFmtId="0" fontId="20" fillId="0" borderId="6" xfId="0" applyFont="1" applyBorder="1" applyAlignment="1" applyProtection="1">
      <alignment horizontal="center" vertical="center" wrapText="1"/>
    </xf>
    <xf numFmtId="0" fontId="20" fillId="0" borderId="0" xfId="0" applyFont="1" applyAlignment="1" applyProtection="1">
      <alignment horizontal="center" vertical="center"/>
    </xf>
    <xf numFmtId="0" fontId="20" fillId="0" borderId="6" xfId="0" applyFont="1" applyBorder="1" applyAlignment="1" applyProtection="1">
      <alignment horizontal="center" vertical="center"/>
    </xf>
    <xf numFmtId="0" fontId="21" fillId="0" borderId="0" xfId="0" applyFont="1" applyAlignment="1" applyProtection="1">
      <alignment horizontal="center" vertical="center"/>
    </xf>
    <xf numFmtId="0" fontId="21" fillId="0" borderId="6" xfId="0" applyFont="1" applyBorder="1" applyAlignment="1" applyProtection="1">
      <alignment horizontal="center" vertical="center"/>
    </xf>
    <xf numFmtId="0" fontId="20" fillId="0" borderId="9"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20" fillId="0" borderId="10" xfId="0" applyFont="1" applyBorder="1" applyAlignment="1" applyProtection="1">
      <alignment horizontal="center" vertical="center" wrapText="1"/>
    </xf>
    <xf numFmtId="0" fontId="21" fillId="0" borderId="9" xfId="0" applyFont="1" applyBorder="1" applyAlignment="1" applyProtection="1">
      <alignment vertical="center"/>
    </xf>
    <xf numFmtId="0" fontId="22" fillId="0" borderId="8" xfId="0" applyFont="1" applyBorder="1" applyAlignment="1" applyProtection="1">
      <alignment vertical="center"/>
    </xf>
    <xf numFmtId="0" fontId="21" fillId="0" borderId="8" xfId="0" applyFont="1" applyBorder="1" applyAlignment="1" applyProtection="1">
      <alignment vertical="center"/>
    </xf>
    <xf numFmtId="0" fontId="21" fillId="0" borderId="8" xfId="0" applyFont="1" applyBorder="1" applyAlignment="1" applyProtection="1">
      <alignment horizontal="center" vertical="center"/>
    </xf>
    <xf numFmtId="0" fontId="21" fillId="0" borderId="10" xfId="0" applyFont="1" applyBorder="1" applyAlignment="1" applyProtection="1">
      <alignment vertical="center"/>
    </xf>
    <xf numFmtId="0" fontId="28" fillId="0" borderId="0" xfId="0" applyFont="1" applyProtection="1"/>
    <xf numFmtId="0" fontId="22" fillId="0" borderId="0" xfId="0" applyFont="1" applyAlignment="1" applyProtection="1">
      <alignment horizontal="center" vertical="center"/>
    </xf>
    <xf numFmtId="0" fontId="22" fillId="0" borderId="6" xfId="0" applyFont="1" applyBorder="1" applyAlignment="1" applyProtection="1">
      <alignment horizontal="center" vertical="center"/>
    </xf>
    <xf numFmtId="0" fontId="21" fillId="0" borderId="2" xfId="0" applyFont="1" applyBorder="1" applyAlignment="1" applyProtection="1">
      <alignment horizontal="center" vertical="center"/>
    </xf>
    <xf numFmtId="0" fontId="22" fillId="0" borderId="0" xfId="0" applyFont="1" applyAlignment="1" applyProtection="1">
      <alignment horizontal="center" vertical="center" wrapText="1"/>
    </xf>
    <xf numFmtId="0" fontId="28" fillId="0" borderId="0" xfId="0" applyFont="1" applyAlignment="1" applyProtection="1">
      <alignment horizontal="center" vertical="center" wrapText="1"/>
    </xf>
    <xf numFmtId="0" fontId="40" fillId="0" borderId="2" xfId="0" applyFont="1" applyBorder="1" applyAlignment="1" applyProtection="1">
      <alignment horizontal="center" vertical="center" wrapText="1"/>
    </xf>
    <xf numFmtId="0" fontId="40" fillId="0" borderId="3" xfId="0" applyFont="1" applyBorder="1" applyAlignment="1" applyProtection="1">
      <alignment horizontal="center" vertical="center" wrapText="1"/>
    </xf>
    <xf numFmtId="0" fontId="40" fillId="0" borderId="9" xfId="0" applyFont="1" applyBorder="1" applyAlignment="1" applyProtection="1">
      <alignment horizontal="center" vertical="center" wrapText="1"/>
    </xf>
    <xf numFmtId="0" fontId="40" fillId="0" borderId="8" xfId="0" applyFont="1" applyBorder="1" applyAlignment="1" applyProtection="1">
      <alignment horizontal="center" vertical="center" wrapText="1"/>
    </xf>
    <xf numFmtId="0" fontId="40" fillId="0" borderId="10" xfId="0" applyFont="1" applyBorder="1" applyAlignment="1" applyProtection="1">
      <alignment horizontal="center" vertical="center" wrapText="1"/>
    </xf>
    <xf numFmtId="0" fontId="40" fillId="0" borderId="0" xfId="0" applyFont="1" applyAlignment="1" applyProtection="1">
      <alignment horizontal="center" vertical="center" wrapText="1"/>
    </xf>
    <xf numFmtId="0" fontId="2" fillId="0" borderId="0" xfId="0" applyFont="1" applyAlignment="1" applyProtection="1">
      <alignment horizontal="center" vertical="center"/>
    </xf>
    <xf numFmtId="4" fontId="22" fillId="0" borderId="23" xfId="0" applyNumberFormat="1" applyFont="1" applyBorder="1" applyAlignment="1" applyProtection="1">
      <alignment horizontal="center" vertical="center"/>
    </xf>
    <xf numFmtId="0" fontId="0" fillId="0" borderId="13" xfId="0" applyBorder="1" applyAlignment="1" applyProtection="1">
      <alignment horizontal="center"/>
    </xf>
    <xf numFmtId="0" fontId="41" fillId="0" borderId="0" xfId="0" applyFont="1" applyAlignment="1" applyProtection="1">
      <alignment vertical="center" wrapText="1"/>
    </xf>
    <xf numFmtId="175" fontId="22" fillId="0" borderId="14" xfId="0" applyNumberFormat="1" applyFont="1" applyBorder="1" applyAlignment="1" applyProtection="1">
      <alignment horizontal="center" vertical="center"/>
    </xf>
    <xf numFmtId="175" fontId="22" fillId="0" borderId="5" xfId="0" applyNumberFormat="1" applyFont="1" applyBorder="1" applyAlignment="1" applyProtection="1">
      <alignment horizontal="center" vertical="center"/>
    </xf>
    <xf numFmtId="0" fontId="21" fillId="0" borderId="1" xfId="0" applyFont="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1" fillId="0" borderId="3" xfId="0" applyFont="1" applyBorder="1" applyAlignment="1" applyProtection="1">
      <alignment horizontal="center" vertical="center" wrapText="1"/>
    </xf>
    <xf numFmtId="0" fontId="8" fillId="0" borderId="0" xfId="0" applyFont="1" applyProtection="1"/>
    <xf numFmtId="0" fontId="8" fillId="0" borderId="5" xfId="0" applyFont="1" applyBorder="1" applyAlignment="1" applyProtection="1">
      <alignment horizontal="left" vertical="center"/>
    </xf>
    <xf numFmtId="0" fontId="8" fillId="0" borderId="0" xfId="0" applyFont="1" applyAlignment="1" applyProtection="1">
      <alignment horizontal="left" vertical="center"/>
    </xf>
    <xf numFmtId="0" fontId="8" fillId="4" borderId="0" xfId="0" applyFont="1" applyFill="1" applyAlignment="1" applyProtection="1">
      <alignment horizontal="center" vertical="center"/>
    </xf>
    <xf numFmtId="0" fontId="8" fillId="4" borderId="0" xfId="0" applyFont="1" applyFill="1" applyAlignment="1" applyProtection="1">
      <alignment horizontal="left" vertical="center"/>
    </xf>
    <xf numFmtId="0" fontId="8" fillId="0" borderId="5" xfId="0" applyFont="1" applyBorder="1" applyAlignment="1" applyProtection="1">
      <alignment horizontal="center" vertical="center"/>
    </xf>
    <xf numFmtId="0" fontId="9" fillId="0" borderId="5" xfId="0" applyFont="1" applyBorder="1" applyAlignment="1" applyProtection="1">
      <alignment horizontal="center" vertical="center"/>
    </xf>
    <xf numFmtId="1" fontId="9" fillId="0" borderId="5" xfId="0" applyNumberFormat="1" applyFont="1" applyBorder="1" applyAlignment="1" applyProtection="1">
      <alignment horizontal="center" vertical="center"/>
    </xf>
    <xf numFmtId="0" fontId="8" fillId="4" borderId="0" xfId="0" applyFont="1" applyFill="1" applyProtection="1"/>
    <xf numFmtId="0" fontId="8" fillId="4" borderId="5" xfId="0" applyFont="1" applyFill="1" applyBorder="1" applyAlignment="1" applyProtection="1">
      <alignment horizontal="center"/>
    </xf>
    <xf numFmtId="0" fontId="8" fillId="4" borderId="5" xfId="0" applyFont="1" applyFill="1" applyBorder="1" applyProtection="1"/>
    <xf numFmtId="2" fontId="8" fillId="4" borderId="5" xfId="0" applyNumberFormat="1" applyFont="1" applyFill="1" applyBorder="1" applyAlignment="1" applyProtection="1">
      <alignment horizontal="center"/>
    </xf>
    <xf numFmtId="0" fontId="2" fillId="0" borderId="1" xfId="0" applyFont="1" applyBorder="1" applyProtection="1"/>
    <xf numFmtId="0" fontId="0" fillId="0" borderId="2" xfId="0" applyBorder="1" applyProtection="1"/>
    <xf numFmtId="0" fontId="0" fillId="0" borderId="5" xfId="0" applyBorder="1" applyAlignment="1" applyProtection="1">
      <alignment horizontal="center"/>
    </xf>
    <xf numFmtId="0" fontId="2" fillId="0" borderId="4" xfId="0" applyFont="1" applyBorder="1" applyProtection="1"/>
    <xf numFmtId="0" fontId="2" fillId="0" borderId="5" xfId="0" applyFont="1" applyBorder="1" applyAlignment="1" applyProtection="1">
      <alignment horizontal="center"/>
    </xf>
    <xf numFmtId="166" fontId="0" fillId="0" borderId="5" xfId="0" applyNumberFormat="1" applyBorder="1" applyAlignment="1" applyProtection="1">
      <alignment horizontal="center"/>
    </xf>
    <xf numFmtId="166" fontId="0" fillId="0" borderId="0" xfId="0" applyNumberFormat="1" applyProtection="1"/>
    <xf numFmtId="0" fontId="0" fillId="0" borderId="1" xfId="0" applyBorder="1" applyProtection="1"/>
    <xf numFmtId="0" fontId="0" fillId="0" borderId="5" xfId="0" applyBorder="1" applyAlignment="1" applyProtection="1">
      <alignment horizontal="center" wrapText="1"/>
    </xf>
    <xf numFmtId="0" fontId="0" fillId="0" borderId="5" xfId="0" applyBorder="1" applyAlignment="1" applyProtection="1">
      <alignment horizontal="center" vertical="center"/>
    </xf>
    <xf numFmtId="0" fontId="0" fillId="0" borderId="14" xfId="0" applyBorder="1" applyAlignment="1" applyProtection="1">
      <alignment horizontal="center"/>
    </xf>
    <xf numFmtId="2" fontId="0" fillId="0" borderId="15" xfId="0" applyNumberFormat="1" applyBorder="1" applyAlignment="1" applyProtection="1">
      <alignment horizontal="center"/>
    </xf>
    <xf numFmtId="0" fontId="0" fillId="0" borderId="5" xfId="0" applyBorder="1" applyAlignment="1" applyProtection="1">
      <alignment horizontal="center"/>
      <protection locked="0"/>
    </xf>
    <xf numFmtId="0" fontId="2" fillId="0" borderId="0" xfId="0" applyFont="1" applyProtection="1"/>
    <xf numFmtId="0" fontId="9" fillId="0" borderId="5" xfId="0" applyFont="1" applyBorder="1" applyAlignment="1" applyProtection="1">
      <alignment horizontal="center"/>
    </xf>
    <xf numFmtId="0" fontId="8" fillId="0" borderId="5" xfId="0" applyFont="1" applyBorder="1" applyAlignment="1" applyProtection="1">
      <alignment horizontal="center"/>
    </xf>
    <xf numFmtId="0" fontId="8" fillId="5" borderId="5" xfId="0" applyFont="1" applyFill="1" applyBorder="1" applyAlignment="1" applyProtection="1">
      <alignment horizontal="center"/>
    </xf>
    <xf numFmtId="0" fontId="8" fillId="19" borderId="5" xfId="0" applyFont="1" applyFill="1" applyBorder="1" applyAlignment="1" applyProtection="1">
      <alignment horizontal="center"/>
    </xf>
    <xf numFmtId="0" fontId="8" fillId="0" borderId="5" xfId="0" applyFont="1" applyBorder="1" applyProtection="1"/>
    <xf numFmtId="0" fontId="9" fillId="0" borderId="5" xfId="0" applyFont="1" applyBorder="1" applyAlignment="1" applyProtection="1">
      <alignment horizontal="left"/>
    </xf>
    <xf numFmtId="0" fontId="0" fillId="0" borderId="5" xfId="0" applyBorder="1" applyProtection="1"/>
    <xf numFmtId="0" fontId="2" fillId="0" borderId="8" xfId="0" applyFont="1" applyBorder="1" applyAlignment="1" applyProtection="1">
      <alignment horizontal="center"/>
    </xf>
    <xf numFmtId="0" fontId="2" fillId="0" borderId="0" xfId="0" applyFont="1" applyAlignment="1" applyProtection="1">
      <alignment horizontal="center"/>
    </xf>
    <xf numFmtId="1" fontId="2" fillId="0" borderId="5" xfId="0" applyNumberFormat="1" applyFont="1" applyBorder="1" applyAlignment="1" applyProtection="1">
      <alignment horizontal="center"/>
    </xf>
    <xf numFmtId="0" fontId="23" fillId="0" borderId="0" xfId="0" applyFont="1" applyProtection="1"/>
    <xf numFmtId="0" fontId="3" fillId="0" borderId="5" xfId="0" applyFont="1" applyBorder="1" applyAlignment="1" applyProtection="1">
      <alignment horizontal="center" vertical="center"/>
    </xf>
    <xf numFmtId="10" fontId="15" fillId="0" borderId="5" xfId="0" applyNumberFormat="1" applyFont="1" applyBorder="1" applyAlignment="1" applyProtection="1">
      <alignment horizontal="center" vertical="center"/>
    </xf>
    <xf numFmtId="1" fontId="8" fillId="0" borderId="5" xfId="0" applyNumberFormat="1" applyFont="1" applyBorder="1" applyAlignment="1" applyProtection="1">
      <alignment horizontal="center" vertical="center"/>
    </xf>
    <xf numFmtId="0" fontId="8" fillId="5" borderId="5" xfId="0" applyFont="1" applyFill="1" applyBorder="1" applyAlignment="1" applyProtection="1">
      <alignment horizontal="center" vertical="center"/>
    </xf>
    <xf numFmtId="1" fontId="8" fillId="5" borderId="5" xfId="0" applyNumberFormat="1" applyFont="1" applyFill="1" applyBorder="1" applyAlignment="1" applyProtection="1">
      <alignment horizontal="center" vertical="center"/>
    </xf>
    <xf numFmtId="0" fontId="8" fillId="8" borderId="5" xfId="0" applyFont="1" applyFill="1" applyBorder="1" applyAlignment="1" applyProtection="1">
      <alignment horizontal="center" vertical="center"/>
    </xf>
    <xf numFmtId="1" fontId="8" fillId="8" borderId="5" xfId="0" applyNumberFormat="1" applyFont="1" applyFill="1" applyBorder="1" applyAlignment="1" applyProtection="1">
      <alignment horizontal="center" vertical="center"/>
    </xf>
    <xf numFmtId="0" fontId="8" fillId="19" borderId="5" xfId="0" applyFont="1" applyFill="1" applyBorder="1" applyAlignment="1" applyProtection="1">
      <alignment horizontal="center" vertical="center"/>
    </xf>
    <xf numFmtId="1" fontId="8" fillId="19" borderId="5" xfId="0" applyNumberFormat="1" applyFont="1" applyFill="1" applyBorder="1" applyAlignment="1" applyProtection="1">
      <alignment horizontal="center" vertical="center"/>
    </xf>
    <xf numFmtId="1" fontId="8" fillId="0" borderId="5" xfId="0" applyNumberFormat="1" applyFont="1" applyBorder="1" applyAlignment="1" applyProtection="1">
      <alignment horizontal="center"/>
    </xf>
    <xf numFmtId="1" fontId="8" fillId="5" borderId="5" xfId="0" applyNumberFormat="1" applyFont="1" applyFill="1" applyBorder="1" applyAlignment="1" applyProtection="1">
      <alignment horizontal="center"/>
    </xf>
    <xf numFmtId="0" fontId="8" fillId="8" borderId="5" xfId="0" applyFont="1" applyFill="1" applyBorder="1" applyAlignment="1" applyProtection="1">
      <alignment horizontal="center"/>
    </xf>
    <xf numFmtId="1" fontId="8" fillId="8" borderId="5" xfId="0" applyNumberFormat="1" applyFont="1" applyFill="1" applyBorder="1" applyAlignment="1" applyProtection="1">
      <alignment horizontal="center"/>
    </xf>
    <xf numFmtId="1" fontId="8" fillId="19" borderId="5" xfId="0" applyNumberFormat="1" applyFont="1" applyFill="1" applyBorder="1" applyAlignment="1" applyProtection="1">
      <alignment horizontal="center"/>
    </xf>
    <xf numFmtId="0" fontId="2" fillId="0" borderId="11"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13" xfId="0" applyFont="1" applyBorder="1" applyAlignment="1" applyProtection="1">
      <alignment horizontal="center" vertical="center"/>
    </xf>
    <xf numFmtId="1" fontId="2" fillId="0" borderId="0" xfId="0" applyNumberFormat="1" applyFont="1" applyAlignment="1" applyProtection="1">
      <alignment horizontal="center"/>
    </xf>
    <xf numFmtId="0" fontId="8" fillId="0" borderId="0" xfId="0" applyFont="1" applyAlignment="1" applyProtection="1">
      <alignment horizontal="center"/>
    </xf>
    <xf numFmtId="0" fontId="9" fillId="0" borderId="1" xfId="0" applyFont="1" applyBorder="1" applyAlignment="1" applyProtection="1">
      <alignment horizontal="center"/>
    </xf>
    <xf numFmtId="0" fontId="8" fillId="0" borderId="2" xfId="0" applyFont="1" applyBorder="1" applyAlignment="1" applyProtection="1">
      <alignment horizontal="center"/>
    </xf>
    <xf numFmtId="0" fontId="8" fillId="0" borderId="3" xfId="0" applyFont="1" applyBorder="1" applyAlignment="1" applyProtection="1">
      <alignment horizontal="center"/>
    </xf>
    <xf numFmtId="0" fontId="8" fillId="0" borderId="1" xfId="0" applyFont="1" applyBorder="1" applyAlignment="1" applyProtection="1">
      <alignment horizontal="center"/>
    </xf>
    <xf numFmtId="0" fontId="8" fillId="0" borderId="4" xfId="0" applyFont="1" applyBorder="1" applyAlignment="1" applyProtection="1">
      <alignment horizontal="center"/>
    </xf>
    <xf numFmtId="0" fontId="8" fillId="0" borderId="6" xfId="0" applyFont="1" applyBorder="1" applyAlignment="1" applyProtection="1">
      <alignment horizontal="center"/>
    </xf>
    <xf numFmtId="0" fontId="9" fillId="0" borderId="4" xfId="0" applyFont="1" applyBorder="1" applyAlignment="1" applyProtection="1">
      <alignment horizontal="center"/>
    </xf>
    <xf numFmtId="0" fontId="9" fillId="0" borderId="0" xfId="0" applyFont="1" applyAlignment="1" applyProtection="1">
      <alignment horizontal="center"/>
    </xf>
    <xf numFmtId="0" fontId="9" fillId="0" borderId="1" xfId="0" applyFont="1" applyBorder="1" applyAlignment="1" applyProtection="1">
      <alignment horizontal="left"/>
    </xf>
    <xf numFmtId="0" fontId="9" fillId="0" borderId="4" xfId="0" applyFont="1" applyBorder="1" applyAlignment="1" applyProtection="1">
      <alignment horizontal="left"/>
    </xf>
    <xf numFmtId="0" fontId="9" fillId="0" borderId="14" xfId="0" applyFont="1" applyBorder="1" applyAlignment="1" applyProtection="1">
      <alignment horizontal="center"/>
    </xf>
    <xf numFmtId="0" fontId="9" fillId="0" borderId="0" xfId="0" applyFont="1" applyAlignment="1" applyProtection="1">
      <alignment horizontal="left"/>
    </xf>
    <xf numFmtId="0" fontId="8" fillId="0" borderId="1" xfId="0" applyFont="1" applyBorder="1" applyProtection="1"/>
    <xf numFmtId="0" fontId="8" fillId="0" borderId="0" xfId="0" applyFont="1" applyAlignment="1" applyProtection="1">
      <alignment horizontal="left"/>
    </xf>
    <xf numFmtId="0" fontId="8" fillId="0" borderId="4" xfId="0" applyFont="1" applyBorder="1" applyProtection="1"/>
    <xf numFmtId="0" fontId="8" fillId="0" borderId="9" xfId="0" applyFont="1" applyBorder="1" applyProtection="1"/>
    <xf numFmtId="1" fontId="8" fillId="0" borderId="10" xfId="0" applyNumberFormat="1" applyFont="1" applyBorder="1" applyAlignment="1" applyProtection="1">
      <alignment horizontal="center"/>
    </xf>
    <xf numFmtId="0" fontId="9" fillId="0" borderId="41" xfId="0" applyFont="1" applyBorder="1" applyAlignment="1" applyProtection="1">
      <alignment horizontal="center"/>
    </xf>
    <xf numFmtId="0" fontId="9" fillId="0" borderId="24" xfId="0" applyFont="1" applyBorder="1" applyAlignment="1" applyProtection="1">
      <alignment horizontal="center"/>
    </xf>
    <xf numFmtId="0" fontId="9" fillId="0" borderId="22" xfId="0" applyFont="1" applyBorder="1" applyAlignment="1" applyProtection="1">
      <alignment horizontal="center"/>
    </xf>
    <xf numFmtId="0" fontId="9" fillId="0" borderId="42" xfId="0" applyFont="1" applyBorder="1" applyAlignment="1" applyProtection="1">
      <alignment horizontal="center"/>
    </xf>
    <xf numFmtId="0" fontId="8" fillId="0" borderId="43" xfId="0" applyFont="1" applyBorder="1" applyAlignment="1" applyProtection="1">
      <alignment horizontal="center"/>
    </xf>
    <xf numFmtId="0" fontId="8" fillId="0" borderId="25" xfId="0" applyFont="1" applyBorder="1" applyAlignment="1" applyProtection="1">
      <alignment horizontal="center"/>
    </xf>
    <xf numFmtId="0" fontId="8" fillId="0" borderId="27" xfId="0" applyFont="1" applyBorder="1" applyAlignment="1" applyProtection="1">
      <alignment horizontal="center"/>
    </xf>
    <xf numFmtId="0" fontId="8" fillId="0" borderId="44" xfId="0" applyFont="1" applyBorder="1" applyAlignment="1" applyProtection="1">
      <alignment horizontal="center"/>
    </xf>
    <xf numFmtId="0" fontId="8" fillId="0" borderId="41" xfId="0" applyFont="1" applyBorder="1" applyAlignment="1" applyProtection="1">
      <alignment horizontal="center"/>
    </xf>
    <xf numFmtId="0" fontId="8" fillId="0" borderId="24" xfId="0" applyFont="1" applyBorder="1" applyAlignment="1" applyProtection="1">
      <alignment horizontal="center"/>
    </xf>
    <xf numFmtId="0" fontId="8" fillId="0" borderId="22" xfId="0" applyFont="1" applyBorder="1" applyAlignment="1" applyProtection="1">
      <alignment horizontal="center"/>
    </xf>
    <xf numFmtId="0" fontId="8" fillId="0" borderId="42" xfId="0" applyFont="1" applyBorder="1" applyAlignment="1" applyProtection="1">
      <alignment horizontal="center"/>
    </xf>
    <xf numFmtId="0" fontId="8" fillId="0" borderId="45" xfId="0" applyFont="1" applyBorder="1" applyAlignment="1" applyProtection="1">
      <alignment horizontal="center"/>
    </xf>
    <xf numFmtId="0" fontId="8" fillId="0" borderId="46" xfId="0" applyFont="1" applyBorder="1" applyAlignment="1" applyProtection="1">
      <alignment horizontal="center"/>
    </xf>
    <xf numFmtId="0" fontId="8" fillId="0" borderId="47" xfId="0" applyFont="1" applyBorder="1" applyAlignment="1" applyProtection="1">
      <alignment horizontal="center"/>
    </xf>
    <xf numFmtId="0" fontId="8" fillId="0" borderId="48" xfId="0" applyFont="1" applyBorder="1" applyAlignment="1" applyProtection="1">
      <alignment horizontal="center"/>
    </xf>
    <xf numFmtId="0" fontId="57" fillId="0" borderId="0" xfId="0" applyFont="1" applyAlignment="1" applyProtection="1">
      <alignment horizontal="center" vertical="center"/>
    </xf>
    <xf numFmtId="0" fontId="57" fillId="10" borderId="0" xfId="0" applyFont="1" applyFill="1" applyAlignment="1" applyProtection="1">
      <alignment horizontal="center" vertical="center"/>
    </xf>
    <xf numFmtId="0" fontId="57" fillId="20" borderId="0" xfId="0" applyFont="1" applyFill="1" applyAlignment="1" applyProtection="1">
      <alignment horizontal="center" vertical="center"/>
    </xf>
    <xf numFmtId="0" fontId="28" fillId="0" borderId="0" xfId="0" applyFont="1" applyBorder="1" applyAlignment="1" applyProtection="1">
      <alignment horizontal="center" vertical="center" wrapText="1"/>
    </xf>
    <xf numFmtId="0" fontId="17" fillId="0" borderId="11" xfId="0" applyFont="1" applyBorder="1" applyAlignment="1" applyProtection="1">
      <alignment horizontal="left" vertical="center"/>
    </xf>
    <xf numFmtId="0" fontId="0" fillId="0" borderId="12" xfId="0" applyBorder="1" applyProtection="1"/>
    <xf numFmtId="0" fontId="19" fillId="0" borderId="0" xfId="0" applyFont="1" applyBorder="1" applyAlignment="1" applyProtection="1">
      <alignment horizontal="center" vertical="center"/>
    </xf>
    <xf numFmtId="0" fontId="45" fillId="0" borderId="0" xfId="0" applyFont="1" applyAlignment="1" applyProtection="1">
      <alignment horizontal="center" vertical="center"/>
    </xf>
    <xf numFmtId="0" fontId="45" fillId="0" borderId="6" xfId="0" applyFont="1" applyBorder="1" applyAlignment="1" applyProtection="1">
      <alignment horizontal="center" vertical="center"/>
    </xf>
    <xf numFmtId="166" fontId="36" fillId="0" borderId="11" xfId="0" applyNumberFormat="1" applyFont="1" applyBorder="1" applyAlignment="1" applyProtection="1">
      <alignment horizontal="center" vertical="center"/>
    </xf>
    <xf numFmtId="166" fontId="36" fillId="0" borderId="13" xfId="0" applyNumberFormat="1" applyFont="1" applyBorder="1" applyAlignment="1" applyProtection="1">
      <alignment horizontal="center" vertical="center"/>
    </xf>
    <xf numFmtId="0" fontId="58" fillId="0" borderId="0" xfId="0" applyFont="1" applyAlignment="1" applyProtection="1">
      <alignment vertical="center"/>
    </xf>
    <xf numFmtId="166" fontId="36" fillId="0" borderId="5" xfId="0" applyNumberFormat="1" applyFont="1" applyBorder="1" applyAlignment="1" applyProtection="1">
      <alignment horizontal="center" vertical="center"/>
    </xf>
    <xf numFmtId="0" fontId="14" fillId="0" borderId="0" xfId="3" applyAlignment="1" applyProtection="1">
      <alignment horizontal="left"/>
      <protection locked="0"/>
    </xf>
    <xf numFmtId="0" fontId="56" fillId="0" borderId="0" xfId="0" applyNumberFormat="1" applyFont="1" applyFill="1" applyAlignment="1" applyProtection="1">
      <alignment horizontal="left"/>
    </xf>
    <xf numFmtId="0" fontId="14" fillId="0" borderId="0" xfId="3" applyNumberFormat="1" applyFill="1" applyAlignment="1" applyProtection="1">
      <alignment horizontal="left"/>
    </xf>
    <xf numFmtId="0" fontId="20" fillId="0" borderId="0" xfId="0" applyFont="1" applyAlignment="1" applyProtection="1">
      <alignment horizontal="center" vertical="center"/>
    </xf>
    <xf numFmtId="2" fontId="24" fillId="0" borderId="0" xfId="0" applyNumberFormat="1" applyFont="1" applyAlignment="1" applyProtection="1">
      <alignment vertical="center"/>
    </xf>
    <xf numFmtId="0" fontId="24" fillId="0" borderId="0" xfId="0" applyFont="1" applyProtection="1"/>
    <xf numFmtId="168" fontId="24" fillId="0" borderId="0" xfId="0" applyNumberFormat="1" applyFont="1" applyProtection="1"/>
    <xf numFmtId="2" fontId="24" fillId="0" borderId="0" xfId="0" applyNumberFormat="1" applyFont="1" applyProtection="1"/>
    <xf numFmtId="165" fontId="24" fillId="0" borderId="0" xfId="0" applyNumberFormat="1" applyFont="1" applyProtection="1"/>
    <xf numFmtId="0" fontId="16" fillId="0" borderId="0" xfId="0" applyFont="1" applyBorder="1" applyAlignment="1" applyProtection="1">
      <alignment vertical="center"/>
    </xf>
    <xf numFmtId="0" fontId="56" fillId="0" borderId="9" xfId="0" applyNumberFormat="1" applyFont="1" applyFill="1" applyBorder="1" applyAlignment="1" applyProtection="1">
      <alignment horizontal="left"/>
    </xf>
    <xf numFmtId="0" fontId="21" fillId="0" borderId="0" xfId="0" applyFont="1" applyAlignment="1" applyProtection="1">
      <alignment vertical="center" wrapText="1"/>
    </xf>
    <xf numFmtId="0" fontId="0" fillId="0" borderId="1" xfId="0"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10" xfId="0" applyBorder="1" applyAlignment="1" applyProtection="1">
      <alignment horizontal="center" vertical="center" wrapText="1"/>
    </xf>
    <xf numFmtId="0" fontId="59" fillId="0" borderId="0" xfId="3" applyFont="1" applyAlignment="1" applyProtection="1">
      <alignment horizontal="center" vertical="center"/>
      <protection locked="0"/>
    </xf>
    <xf numFmtId="0" fontId="59" fillId="0" borderId="0" xfId="3" applyFont="1" applyAlignment="1" applyProtection="1">
      <alignment horizontal="center" vertical="center"/>
      <protection locked="0"/>
    </xf>
    <xf numFmtId="0" fontId="8" fillId="0" borderId="0" xfId="0" applyFont="1" applyAlignment="1" applyProtection="1">
      <alignment vertical="center" wrapText="1"/>
    </xf>
    <xf numFmtId="0" fontId="9" fillId="0" borderId="1"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10" xfId="0" applyFont="1" applyBorder="1" applyAlignment="1" applyProtection="1">
      <alignment horizontal="center" vertical="center" wrapText="1"/>
    </xf>
  </cellXfs>
  <cellStyles count="5">
    <cellStyle name="Hyperlink" xfId="3" builtinId="8"/>
    <cellStyle name="Normal" xfId="0" builtinId="0"/>
    <cellStyle name="Normal 2" xfId="2" xr:uid="{8DA5839B-6CE5-4902-8FFE-F8DDDEA1ED42}"/>
    <cellStyle name="Normal 3" xfId="4" xr:uid="{29554F19-9887-48DF-9367-220059898CB1}"/>
    <cellStyle name="Percent" xfId="1" builtinId="5"/>
  </cellStyles>
  <dxfs count="102">
    <dxf>
      <font>
        <b/>
        <i val="0"/>
      </font>
      <fill>
        <patternFill patternType="solid">
          <fgColor indexed="64"/>
          <bgColor rgb="FFFF0000"/>
        </patternFill>
      </fill>
    </dxf>
    <dxf>
      <font>
        <b/>
        <i val="0"/>
      </font>
      <fill>
        <patternFill patternType="solid">
          <fgColor indexed="64"/>
          <bgColor rgb="FFFFC000"/>
        </patternFill>
      </fill>
    </dxf>
    <dxf>
      <fill>
        <patternFill patternType="solid">
          <fgColor indexed="64"/>
          <bgColor rgb="FFFFE699"/>
        </patternFill>
      </fill>
    </dxf>
    <dxf>
      <font>
        <b/>
        <i val="0"/>
      </font>
      <fill>
        <patternFill patternType="solid">
          <fgColor indexed="64"/>
          <bgColor rgb="FFFF0000"/>
        </patternFill>
      </fill>
    </dxf>
    <dxf>
      <font>
        <b/>
        <i val="0"/>
      </font>
      <fill>
        <patternFill patternType="solid">
          <fgColor indexed="64"/>
          <bgColor rgb="FFFFC000"/>
        </patternFill>
      </fill>
    </dxf>
    <dxf>
      <fill>
        <patternFill patternType="solid">
          <fgColor indexed="64"/>
          <bgColor rgb="FFFFE699"/>
        </patternFill>
      </fill>
    </dxf>
    <dxf>
      <font>
        <b/>
        <i val="0"/>
      </font>
      <fill>
        <patternFill patternType="solid">
          <fgColor indexed="64"/>
          <bgColor rgb="FFFF0000"/>
        </patternFill>
      </fill>
    </dxf>
    <dxf>
      <font>
        <b/>
        <i val="0"/>
      </font>
      <fill>
        <patternFill patternType="solid">
          <fgColor indexed="64"/>
          <bgColor rgb="FFFFC000"/>
        </patternFill>
      </fill>
    </dxf>
    <dxf>
      <fill>
        <patternFill patternType="solid">
          <fgColor indexed="64"/>
          <bgColor rgb="FFFFE699"/>
        </patternFill>
      </fill>
    </dxf>
    <dxf>
      <font>
        <b/>
        <i val="0"/>
      </font>
      <fill>
        <patternFill patternType="solid">
          <fgColor indexed="64"/>
          <bgColor rgb="FFFF0000"/>
        </patternFill>
      </fill>
    </dxf>
    <dxf>
      <font>
        <b/>
        <i val="0"/>
      </font>
      <fill>
        <patternFill patternType="solid">
          <fgColor indexed="64"/>
          <bgColor rgb="FFFFC000"/>
        </patternFill>
      </fill>
    </dxf>
    <dxf>
      <fill>
        <patternFill patternType="solid">
          <fgColor indexed="64"/>
          <bgColor rgb="FFFFE699"/>
        </patternFill>
      </fill>
    </dxf>
    <dxf>
      <font>
        <b/>
        <i val="0"/>
      </font>
      <fill>
        <patternFill patternType="solid">
          <fgColor indexed="64"/>
          <bgColor rgb="FFFF0000"/>
        </patternFill>
      </fill>
    </dxf>
    <dxf>
      <font>
        <b/>
        <i val="0"/>
      </font>
      <fill>
        <patternFill patternType="solid">
          <fgColor indexed="64"/>
          <bgColor rgb="FFFFC000"/>
        </patternFill>
      </fill>
    </dxf>
    <dxf>
      <fill>
        <patternFill patternType="solid">
          <fgColor indexed="64"/>
          <bgColor rgb="FFFFE699"/>
        </patternFill>
      </fill>
    </dxf>
    <dxf>
      <font>
        <b/>
        <i val="0"/>
      </font>
      <fill>
        <patternFill patternType="solid">
          <fgColor indexed="64"/>
          <bgColor rgb="FFFF0000"/>
        </patternFill>
      </fill>
    </dxf>
    <dxf>
      <font>
        <b/>
        <i val="0"/>
      </font>
      <fill>
        <patternFill patternType="solid">
          <fgColor indexed="64"/>
          <bgColor rgb="FFFFC000"/>
        </patternFill>
      </fill>
    </dxf>
    <dxf>
      <fill>
        <patternFill patternType="solid">
          <fgColor indexed="64"/>
          <bgColor rgb="FFFFE699"/>
        </patternFill>
      </fill>
    </dxf>
    <dxf>
      <font>
        <b/>
        <i val="0"/>
      </font>
      <fill>
        <patternFill patternType="solid">
          <fgColor indexed="64"/>
          <bgColor rgb="FFFF0000"/>
        </patternFill>
      </fill>
    </dxf>
    <dxf>
      <font>
        <b/>
        <i val="0"/>
      </font>
      <fill>
        <patternFill patternType="solid">
          <fgColor indexed="64"/>
          <bgColor rgb="FFFFC000"/>
        </patternFill>
      </fill>
    </dxf>
    <dxf>
      <fill>
        <patternFill patternType="solid">
          <fgColor indexed="64"/>
          <bgColor rgb="FFFFE699"/>
        </patternFill>
      </fill>
    </dxf>
    <dxf>
      <font>
        <b/>
        <i val="0"/>
      </font>
      <fill>
        <patternFill patternType="solid">
          <fgColor indexed="64"/>
          <bgColor rgb="FFFF0000"/>
        </patternFill>
      </fill>
    </dxf>
    <dxf>
      <font>
        <b/>
        <i val="0"/>
      </font>
      <fill>
        <patternFill patternType="solid">
          <fgColor indexed="64"/>
          <bgColor rgb="FFFFC000"/>
        </patternFill>
      </fill>
    </dxf>
    <dxf>
      <fill>
        <patternFill patternType="solid">
          <fgColor indexed="64"/>
          <bgColor rgb="FFFFE699"/>
        </patternFill>
      </fill>
    </dxf>
    <dxf>
      <font>
        <color rgb="FFCC0000"/>
      </font>
      <fill>
        <patternFill patternType="solid">
          <fgColor indexed="64"/>
          <bgColor rgb="FFFFC7CE"/>
        </patternFill>
      </fill>
    </dxf>
    <dxf>
      <font>
        <color rgb="FFCC0000"/>
      </font>
      <fill>
        <patternFill patternType="solid">
          <fgColor indexed="64"/>
          <bgColor rgb="FFFFC7CE"/>
        </patternFill>
      </fill>
    </dxf>
    <dxf>
      <font>
        <color rgb="FFCC0000"/>
      </font>
      <fill>
        <patternFill patternType="solid">
          <fgColor indexed="64"/>
          <bgColor rgb="FFFFC7CE"/>
        </patternFill>
      </fill>
    </dxf>
    <dxf>
      <font>
        <color rgb="FFCC0000"/>
      </font>
      <fill>
        <patternFill patternType="solid">
          <fgColor indexed="64"/>
          <bgColor rgb="FFFFC7CE"/>
        </patternFill>
      </fill>
    </dxf>
    <dxf>
      <font>
        <color rgb="FF008000"/>
      </font>
    </dxf>
    <dxf>
      <font>
        <color rgb="FFCC0000"/>
      </font>
    </dxf>
    <dxf>
      <font>
        <b/>
        <i val="0"/>
        <color rgb="FF000000"/>
      </font>
      <fill>
        <patternFill patternType="solid">
          <fgColor indexed="64"/>
          <bgColor rgb="FFFFFF00"/>
        </patternFill>
      </fill>
    </dxf>
    <dxf>
      <font>
        <b/>
        <i val="0"/>
        <color rgb="FF000000"/>
      </font>
      <fill>
        <patternFill patternType="solid">
          <fgColor indexed="64"/>
          <bgColor rgb="FFFFFF00"/>
        </patternFill>
      </fill>
    </dxf>
    <dxf>
      <font>
        <color rgb="FF9C0006"/>
      </font>
      <fill>
        <patternFill patternType="solid">
          <fgColor indexed="64"/>
          <bgColor rgb="FFFFC7CE"/>
        </patternFill>
      </fill>
    </dxf>
    <dxf>
      <font>
        <b/>
        <i val="0"/>
        <color rgb="FF9C0006"/>
      </font>
      <fill>
        <patternFill patternType="solid">
          <fgColor indexed="64"/>
          <bgColor rgb="FFFFC7CE"/>
        </patternFill>
      </fill>
    </dxf>
    <dxf>
      <font>
        <b/>
        <i val="0"/>
        <color rgb="FF9C0006"/>
      </font>
      <fill>
        <patternFill patternType="solid">
          <fgColor indexed="64"/>
          <bgColor rgb="FFFFC7CE"/>
        </patternFill>
      </fill>
    </dxf>
    <dxf>
      <font>
        <b/>
        <i val="0"/>
        <color rgb="FF9C0006"/>
      </font>
      <fill>
        <patternFill patternType="solid">
          <fgColor indexed="64"/>
          <bgColor rgb="FFFFC7CE"/>
        </patternFill>
      </fill>
    </dxf>
    <dxf>
      <font>
        <b/>
        <i val="0"/>
        <color rgb="FF9C0006"/>
      </font>
      <fill>
        <patternFill patternType="solid">
          <fgColor indexed="64"/>
          <bgColor rgb="FFFFC7CE"/>
        </patternFill>
      </fill>
    </dxf>
    <dxf>
      <font>
        <b/>
        <i val="0"/>
        <color rgb="FF9C0006"/>
      </font>
      <fill>
        <patternFill patternType="solid">
          <fgColor indexed="64"/>
          <bgColor rgb="FFFFC7CE"/>
        </patternFill>
      </fill>
    </dxf>
    <dxf>
      <font>
        <b/>
        <i val="0"/>
        <color rgb="FF9C0006"/>
      </font>
      <fill>
        <patternFill patternType="solid">
          <fgColor indexed="64"/>
          <bgColor rgb="FFFFC7CE"/>
        </patternFill>
      </fill>
    </dxf>
    <dxf>
      <font>
        <b/>
        <i val="0"/>
        <color rgb="FF9C0006"/>
      </font>
      <fill>
        <patternFill patternType="solid">
          <fgColor indexed="64"/>
          <bgColor rgb="FFFFC7CE"/>
        </patternFill>
      </fill>
    </dxf>
    <dxf>
      <font>
        <b/>
        <i val="0"/>
        <color rgb="FF9C0006"/>
      </font>
      <fill>
        <patternFill patternType="solid">
          <fgColor indexed="64"/>
          <bgColor rgb="FFFFC7CE"/>
        </patternFill>
      </fill>
    </dxf>
    <dxf>
      <font>
        <color rgb="FF9C0006"/>
      </font>
      <fill>
        <patternFill patternType="solid">
          <fgColor indexed="64"/>
          <bgColor rgb="FFFFC7CE"/>
        </patternFill>
      </fill>
    </dxf>
    <dxf>
      <font>
        <color rgb="FF9C0006"/>
      </font>
      <fill>
        <patternFill patternType="solid">
          <fgColor indexed="64"/>
          <bgColor rgb="FFFFC7CE"/>
        </patternFill>
      </fill>
    </dxf>
    <dxf>
      <font>
        <color rgb="FF9C0006"/>
      </font>
      <fill>
        <patternFill patternType="solid">
          <fgColor indexed="64"/>
          <bgColor rgb="FFFFC7CE"/>
        </patternFill>
      </fill>
    </dxf>
    <dxf>
      <font>
        <color rgb="FF9C0006"/>
      </font>
      <fill>
        <patternFill patternType="solid">
          <fgColor indexed="64"/>
          <bgColor rgb="FFFFC7CE"/>
        </patternFill>
      </fill>
    </dxf>
    <dxf>
      <font>
        <b/>
        <i val="0"/>
        <color rgb="FF9C6500"/>
      </font>
      <fill>
        <patternFill patternType="solid">
          <fgColor indexed="64"/>
          <bgColor rgb="FFFFEB9C"/>
        </patternFill>
      </fill>
    </dxf>
    <dxf>
      <font>
        <b/>
        <i val="0"/>
        <color rgb="FF9C0006"/>
      </font>
      <fill>
        <patternFill patternType="solid">
          <fgColor indexed="64"/>
          <bgColor rgb="FFFFC7CE"/>
        </patternFill>
      </fill>
    </dxf>
    <dxf>
      <fill>
        <patternFill patternType="solid">
          <fgColor indexed="64"/>
          <bgColor rgb="FFFFA500"/>
        </patternFill>
      </fill>
    </dxf>
    <dxf>
      <fill>
        <patternFill patternType="solid">
          <fgColor indexed="64"/>
          <bgColor rgb="FFFFA500"/>
        </patternFill>
      </fill>
    </dxf>
    <dxf>
      <fill>
        <patternFill patternType="solid">
          <fgColor indexed="64"/>
          <bgColor rgb="FFFFA500"/>
        </patternFill>
      </fill>
    </dxf>
    <dxf>
      <fill>
        <patternFill patternType="solid">
          <fgColor indexed="64"/>
          <bgColor rgb="FFFFA500"/>
        </patternFill>
      </fill>
    </dxf>
    <dxf>
      <fill>
        <patternFill patternType="solid">
          <fgColor indexed="64"/>
          <bgColor rgb="FFFFA500"/>
        </patternFill>
      </fill>
    </dxf>
    <dxf>
      <fill>
        <patternFill patternType="solid">
          <fgColor indexed="64"/>
          <bgColor rgb="FFFFA500"/>
        </patternFill>
      </fill>
    </dxf>
    <dxf>
      <fill>
        <patternFill patternType="solid">
          <fgColor indexed="64"/>
          <bgColor rgb="FFFFA500"/>
        </patternFill>
      </fill>
    </dxf>
    <dxf>
      <fill>
        <patternFill patternType="solid">
          <fgColor indexed="64"/>
          <bgColor rgb="FFFFA500"/>
        </patternFill>
      </fill>
    </dxf>
    <dxf>
      <fill>
        <patternFill patternType="solid">
          <fgColor indexed="64"/>
          <bgColor rgb="FFFFA500"/>
        </patternFill>
      </fill>
    </dxf>
    <dxf>
      <fill>
        <patternFill patternType="solid">
          <fgColor indexed="64"/>
          <bgColor rgb="FFFFA500"/>
        </patternFill>
      </fill>
    </dxf>
    <dxf>
      <fill>
        <patternFill patternType="solid">
          <fgColor indexed="64"/>
          <bgColor rgb="FFFFA500"/>
        </patternFill>
      </fill>
    </dxf>
    <dxf>
      <fill>
        <patternFill patternType="solid">
          <fgColor indexed="64"/>
          <bgColor rgb="FFFFA500"/>
        </patternFill>
      </fill>
    </dxf>
    <dxf>
      <fill>
        <patternFill patternType="solid">
          <fgColor indexed="64"/>
          <bgColor rgb="FFFFA500"/>
        </patternFill>
      </fill>
    </dxf>
    <dxf>
      <fill>
        <patternFill patternType="solid">
          <fgColor indexed="64"/>
          <bgColor rgb="FFFFC000"/>
        </patternFill>
      </fill>
    </dxf>
    <dxf>
      <fill>
        <patternFill patternType="solid">
          <fgColor indexed="64"/>
          <bgColor rgb="FFFF0000"/>
        </patternFill>
      </fill>
    </dxf>
    <dxf>
      <fill>
        <patternFill patternType="solid">
          <fgColor indexed="64"/>
          <bgColor rgb="FFFFC000"/>
        </patternFill>
      </fill>
    </dxf>
    <dxf>
      <fill>
        <patternFill patternType="solid">
          <fgColor indexed="64"/>
          <bgColor rgb="FFFF0000"/>
        </patternFill>
      </fill>
    </dxf>
    <dxf>
      <fill>
        <patternFill>
          <bgColor theme="9" tint="0.59996337778862885"/>
        </patternFill>
      </fill>
    </dxf>
    <dxf>
      <fill>
        <patternFill>
          <bgColor rgb="FFFFC000"/>
        </patternFill>
      </fill>
    </dxf>
    <dxf>
      <font>
        <color rgb="FF008000"/>
      </font>
    </dxf>
    <dxf>
      <font>
        <color rgb="FFCC0000"/>
      </font>
    </dxf>
    <dxf>
      <fill>
        <patternFill patternType="solid">
          <fgColor indexed="64"/>
          <bgColor rgb="FFFFC000"/>
        </patternFill>
      </fill>
    </dxf>
    <dxf>
      <fill>
        <patternFill patternType="solid">
          <fgColor indexed="64"/>
          <bgColor rgb="FFFF0000"/>
        </patternFill>
      </fill>
    </dxf>
    <dxf>
      <fill>
        <patternFill patternType="solid">
          <fgColor indexed="64"/>
          <bgColor rgb="FFFFC000"/>
        </patternFill>
      </fill>
    </dxf>
    <dxf>
      <fill>
        <patternFill patternType="solid">
          <fgColor indexed="64"/>
          <bgColor rgb="FFFF0000"/>
        </patternFill>
      </fill>
    </dxf>
    <dxf>
      <font>
        <color rgb="FF008000"/>
      </font>
    </dxf>
    <dxf>
      <font>
        <color rgb="FFCC0000"/>
      </font>
    </dxf>
    <dxf>
      <fill>
        <patternFill patternType="solid">
          <fgColor indexed="64"/>
          <bgColor rgb="FFFFA500"/>
        </patternFill>
      </fill>
    </dxf>
    <dxf>
      <font>
        <color rgb="FFFFFFFF"/>
      </font>
      <fill>
        <patternFill patternType="solid">
          <fgColor indexed="64"/>
          <bgColor rgb="FFFF0000"/>
        </patternFill>
      </fill>
    </dxf>
    <dxf>
      <fill>
        <patternFill patternType="solid">
          <fgColor indexed="64"/>
          <bgColor rgb="FFFFA500"/>
        </patternFill>
      </fill>
    </dxf>
    <dxf>
      <font>
        <b/>
        <i val="0"/>
        <color rgb="FFFF0000"/>
      </font>
    </dxf>
    <dxf>
      <fill>
        <patternFill patternType="solid">
          <fgColor indexed="64"/>
          <bgColor rgb="FFFFFFFF"/>
        </patternFill>
      </fill>
    </dxf>
    <dxf>
      <fill>
        <patternFill patternType="solid">
          <fgColor indexed="64"/>
          <bgColor rgb="FFFFA500"/>
        </patternFill>
      </fill>
    </dxf>
    <dxf>
      <fill>
        <patternFill patternType="solid">
          <fgColor indexed="64"/>
          <bgColor rgb="FFFF0000"/>
        </patternFill>
      </fill>
    </dxf>
    <dxf>
      <fill>
        <patternFill patternType="solid">
          <fgColor indexed="64"/>
          <bgColor rgb="FFFFFFFF"/>
        </patternFill>
      </fill>
    </dxf>
    <dxf>
      <font>
        <b/>
        <i val="0"/>
        <color rgb="FFFF0000"/>
      </font>
      <fill>
        <patternFill patternType="solid">
          <fgColor indexed="64"/>
          <bgColor rgb="FFFFC7CE"/>
        </patternFill>
      </fill>
    </dxf>
    <dxf>
      <font>
        <b/>
        <i val="0"/>
        <color rgb="FFFF0000"/>
      </font>
      <fill>
        <patternFill patternType="solid">
          <fgColor indexed="64"/>
          <bgColor rgb="FFFFC7CE"/>
        </patternFill>
      </fill>
    </dxf>
    <dxf>
      <font>
        <b/>
        <i val="0"/>
        <color rgb="FFFF0000"/>
      </font>
      <fill>
        <patternFill patternType="solid">
          <fgColor indexed="64"/>
          <bgColor rgb="FFFFC7CE"/>
        </patternFill>
      </fill>
    </dxf>
    <dxf>
      <font>
        <b/>
        <i val="0"/>
        <color rgb="FFFF0000"/>
      </font>
      <fill>
        <patternFill patternType="solid">
          <fgColor indexed="64"/>
          <bgColor rgb="FFFFC7CE"/>
        </patternFill>
      </fill>
    </dxf>
    <dxf>
      <font>
        <b/>
        <i val="0"/>
        <color rgb="FFFF0000"/>
      </font>
      <fill>
        <patternFill patternType="solid">
          <fgColor indexed="64"/>
          <bgColor rgb="FFFFC7CE"/>
        </patternFill>
      </fill>
    </dxf>
    <dxf>
      <font>
        <b/>
        <i val="0"/>
        <color rgb="FFFF0000"/>
      </font>
      <fill>
        <patternFill patternType="solid">
          <fgColor indexed="64"/>
          <bgColor rgb="FFFFC7CE"/>
        </patternFill>
      </fill>
    </dxf>
    <dxf>
      <font>
        <color rgb="FF9C0006"/>
      </font>
      <fill>
        <patternFill patternType="solid">
          <fgColor indexed="64"/>
          <bgColor rgb="FFFFC7CE"/>
        </patternFill>
      </fill>
    </dxf>
    <dxf>
      <font>
        <color rgb="FF006100"/>
      </font>
      <fill>
        <patternFill patternType="solid">
          <fgColor indexed="64"/>
          <bgColor rgb="FFC6EFCE"/>
        </patternFill>
      </fill>
    </dxf>
    <dxf>
      <font>
        <b/>
        <i val="0"/>
        <color rgb="FFFF0000"/>
      </font>
      <fill>
        <patternFill patternType="solid">
          <fgColor indexed="64"/>
          <bgColor rgb="FFFFC7CE"/>
        </patternFill>
      </fill>
    </dxf>
    <dxf>
      <font>
        <color rgb="FF9C0006"/>
      </font>
      <fill>
        <patternFill patternType="solid">
          <fgColor indexed="64"/>
          <bgColor rgb="FFFFC7CE"/>
        </patternFill>
      </fill>
    </dxf>
    <dxf>
      <font>
        <color rgb="FF006100"/>
      </font>
      <fill>
        <patternFill patternType="solid">
          <fgColor indexed="64"/>
          <bgColor rgb="FFC6EFCE"/>
        </patternFill>
      </fill>
    </dxf>
    <dxf>
      <font>
        <b/>
        <i val="0"/>
        <color rgb="FFFF0000"/>
      </font>
      <fill>
        <patternFill patternType="solid">
          <fgColor indexed="64"/>
          <bgColor rgb="FFFFC7CE"/>
        </patternFill>
      </fill>
    </dxf>
    <dxf>
      <font>
        <color rgb="FF9C0006"/>
      </font>
      <fill>
        <patternFill patternType="solid">
          <fgColor indexed="64"/>
          <bgColor rgb="FFFFC7CE"/>
        </patternFill>
      </fill>
    </dxf>
    <dxf>
      <font>
        <color rgb="FF006100"/>
      </font>
      <fill>
        <patternFill patternType="solid">
          <fgColor indexed="64"/>
          <bgColor rgb="FFC6EFCE"/>
        </patternFill>
      </fill>
    </dxf>
    <dxf>
      <font>
        <b/>
        <i val="0"/>
        <color rgb="FFFF0000"/>
      </font>
      <fill>
        <patternFill patternType="solid">
          <fgColor indexed="64"/>
          <bgColor rgb="FFFFC7CE"/>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image" Target="../media/image10.png"/><Relationship Id="rId7" Type="http://schemas.openxmlformats.org/officeDocument/2006/relationships/image" Target="../media/image14.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4.wmf"/></Relationships>
</file>

<file path=xl/drawings/_rels/drawing13.xml.rels><?xml version="1.0" encoding="UTF-8" standalone="yes"?>
<Relationships xmlns="http://schemas.openxmlformats.org/package/2006/relationships"><Relationship Id="rId1" Type="http://schemas.openxmlformats.org/officeDocument/2006/relationships/image" Target="../media/image2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9.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1.wmf"/><Relationship Id="rId1" Type="http://schemas.openxmlformats.org/officeDocument/2006/relationships/image" Target="../media/image30.wmf"/></Relationships>
</file>

<file path=xl/drawings/_rels/drawing18.xml.rels><?xml version="1.0" encoding="UTF-8" standalone="yes"?>
<Relationships xmlns="http://schemas.openxmlformats.org/package/2006/relationships"><Relationship Id="rId1" Type="http://schemas.openxmlformats.org/officeDocument/2006/relationships/image" Target="../media/image3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3.png"/></Relationships>
</file>

<file path=xl/drawings/_rels/drawing2.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4.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4.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4.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7.xml.rels><?xml version="1.0" encoding="UTF-8" standalone="yes"?>
<Relationships xmlns="http://schemas.openxmlformats.org/package/2006/relationships"><Relationship Id="rId1" Type="http://schemas.openxmlformats.org/officeDocument/2006/relationships/image" Target="../media/image19.png"/></Relationships>
</file>

<file path=xl/drawings/_rels/drawing8.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4" Type="http://schemas.openxmlformats.org/officeDocument/2006/relationships/image" Target="../media/image23.png"/></Relationships>
</file>

<file path=xl/drawings/_rels/drawing9.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image" Target="../media/image10.png"/><Relationship Id="rId7" Type="http://schemas.openxmlformats.org/officeDocument/2006/relationships/image" Target="../media/image14.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6</xdr:col>
      <xdr:colOff>232833</xdr:colOff>
      <xdr:row>7</xdr:row>
      <xdr:rowOff>2267</xdr:rowOff>
    </xdr:from>
    <xdr:to>
      <xdr:col>6</xdr:col>
      <xdr:colOff>415893</xdr:colOff>
      <xdr:row>12</xdr:row>
      <xdr:rowOff>14917</xdr:rowOff>
    </xdr:to>
    <xdr:pic>
      <xdr:nvPicPr>
        <xdr:cNvPr id="2" name="Picture 1">
          <a:extLst>
            <a:ext uri="{FF2B5EF4-FFF2-40B4-BE49-F238E27FC236}">
              <a16:creationId xmlns:a16="http://schemas.microsoft.com/office/drawing/2014/main" id="{5F1E55BF-13BF-42B2-93B5-FFA02494214E}"/>
            </a:ext>
          </a:extLst>
        </xdr:cNvPr>
        <xdr:cNvPicPr>
          <a:picLocks noChangeAspect="1"/>
        </xdr:cNvPicPr>
      </xdr:nvPicPr>
      <xdr:blipFill>
        <a:blip xmlns:r="http://schemas.openxmlformats.org/officeDocument/2006/relationships" r:embed="rId1"/>
        <a:stretch>
          <a:fillRect/>
        </a:stretch>
      </xdr:blipFill>
      <xdr:spPr>
        <a:xfrm flipH="1">
          <a:off x="4861983" y="1526267"/>
          <a:ext cx="183060" cy="1155650"/>
        </a:xfrm>
        <a:prstGeom prst="rect">
          <a:avLst/>
        </a:prstGeom>
      </xdr:spPr>
    </xdr:pic>
    <xdr:clientData/>
  </xdr:twoCellAnchor>
  <xdr:twoCellAnchor editAs="oneCell">
    <xdr:from>
      <xdr:col>6</xdr:col>
      <xdr:colOff>611083</xdr:colOff>
      <xdr:row>7</xdr:row>
      <xdr:rowOff>0</xdr:rowOff>
    </xdr:from>
    <xdr:to>
      <xdr:col>6</xdr:col>
      <xdr:colOff>828797</xdr:colOff>
      <xdr:row>12</xdr:row>
      <xdr:rowOff>7561</xdr:rowOff>
    </xdr:to>
    <xdr:pic>
      <xdr:nvPicPr>
        <xdr:cNvPr id="3" name="Picture 2">
          <a:extLst>
            <a:ext uri="{FF2B5EF4-FFF2-40B4-BE49-F238E27FC236}">
              <a16:creationId xmlns:a16="http://schemas.microsoft.com/office/drawing/2014/main" id="{B063F0B4-1F84-4A8C-9A01-8A3FB6E0981A}"/>
            </a:ext>
          </a:extLst>
        </xdr:cNvPr>
        <xdr:cNvPicPr>
          <a:picLocks noChangeAspect="1"/>
        </xdr:cNvPicPr>
      </xdr:nvPicPr>
      <xdr:blipFill>
        <a:blip xmlns:r="http://schemas.openxmlformats.org/officeDocument/2006/relationships" r:embed="rId2"/>
        <a:stretch>
          <a:fillRect/>
        </a:stretch>
      </xdr:blipFill>
      <xdr:spPr>
        <a:xfrm>
          <a:off x="5240233" y="1524000"/>
          <a:ext cx="217714" cy="1150561"/>
        </a:xfrm>
        <a:prstGeom prst="rect">
          <a:avLst/>
        </a:prstGeom>
      </xdr:spPr>
    </xdr:pic>
    <xdr:clientData/>
  </xdr:twoCellAnchor>
  <xdr:twoCellAnchor editAs="oneCell">
    <xdr:from>
      <xdr:col>8</xdr:col>
      <xdr:colOff>217081</xdr:colOff>
      <xdr:row>6</xdr:row>
      <xdr:rowOff>218470</xdr:rowOff>
    </xdr:from>
    <xdr:to>
      <xdr:col>8</xdr:col>
      <xdr:colOff>842825</xdr:colOff>
      <xdr:row>11</xdr:row>
      <xdr:rowOff>140153</xdr:rowOff>
    </xdr:to>
    <xdr:pic>
      <xdr:nvPicPr>
        <xdr:cNvPr id="4" name="Picture 3">
          <a:extLst>
            <a:ext uri="{FF2B5EF4-FFF2-40B4-BE49-F238E27FC236}">
              <a16:creationId xmlns:a16="http://schemas.microsoft.com/office/drawing/2014/main" id="{D55F6458-C2B7-4D55-96D3-C3C2251DEA46}"/>
            </a:ext>
          </a:extLst>
        </xdr:cNvPr>
        <xdr:cNvPicPr>
          <a:picLocks noChangeAspect="1"/>
        </xdr:cNvPicPr>
      </xdr:nvPicPr>
      <xdr:blipFill>
        <a:blip xmlns:r="http://schemas.openxmlformats.org/officeDocument/2006/relationships" r:embed="rId3"/>
        <a:stretch>
          <a:fillRect/>
        </a:stretch>
      </xdr:blipFill>
      <xdr:spPr>
        <a:xfrm>
          <a:off x="6941731" y="1513870"/>
          <a:ext cx="625744" cy="1064683"/>
        </a:xfrm>
        <a:prstGeom prst="rect">
          <a:avLst/>
        </a:prstGeom>
      </xdr:spPr>
    </xdr:pic>
    <xdr:clientData/>
  </xdr:twoCellAnchor>
  <xdr:twoCellAnchor editAs="oneCell">
    <xdr:from>
      <xdr:col>7</xdr:col>
      <xdr:colOff>201083</xdr:colOff>
      <xdr:row>6</xdr:row>
      <xdr:rowOff>195944</xdr:rowOff>
    </xdr:from>
    <xdr:to>
      <xdr:col>7</xdr:col>
      <xdr:colOff>875888</xdr:colOff>
      <xdr:row>11</xdr:row>
      <xdr:rowOff>136677</xdr:rowOff>
    </xdr:to>
    <xdr:pic>
      <xdr:nvPicPr>
        <xdr:cNvPr id="5" name="Picture 4">
          <a:extLst>
            <a:ext uri="{FF2B5EF4-FFF2-40B4-BE49-F238E27FC236}">
              <a16:creationId xmlns:a16="http://schemas.microsoft.com/office/drawing/2014/main" id="{6F807EFC-2586-47A3-828D-F462D6103111}"/>
            </a:ext>
          </a:extLst>
        </xdr:cNvPr>
        <xdr:cNvPicPr>
          <a:picLocks noChangeAspect="1"/>
        </xdr:cNvPicPr>
      </xdr:nvPicPr>
      <xdr:blipFill>
        <a:blip xmlns:r="http://schemas.openxmlformats.org/officeDocument/2006/relationships" r:embed="rId4"/>
        <a:stretch>
          <a:fillRect/>
        </a:stretch>
      </xdr:blipFill>
      <xdr:spPr>
        <a:xfrm>
          <a:off x="5877983" y="1491344"/>
          <a:ext cx="674805" cy="1083733"/>
        </a:xfrm>
        <a:prstGeom prst="rect">
          <a:avLst/>
        </a:prstGeom>
      </xdr:spPr>
    </xdr:pic>
    <xdr:clientData/>
  </xdr:twoCellAnchor>
  <xdr:twoCellAnchor editAs="oneCell">
    <xdr:from>
      <xdr:col>10</xdr:col>
      <xdr:colOff>17508</xdr:colOff>
      <xdr:row>6</xdr:row>
      <xdr:rowOff>199270</xdr:rowOff>
    </xdr:from>
    <xdr:to>
      <xdr:col>11</xdr:col>
      <xdr:colOff>105803</xdr:colOff>
      <xdr:row>11</xdr:row>
      <xdr:rowOff>81204</xdr:rowOff>
    </xdr:to>
    <xdr:pic>
      <xdr:nvPicPr>
        <xdr:cNvPr id="6" name="Picture 5">
          <a:extLst>
            <a:ext uri="{FF2B5EF4-FFF2-40B4-BE49-F238E27FC236}">
              <a16:creationId xmlns:a16="http://schemas.microsoft.com/office/drawing/2014/main" id="{E41CE8FE-3EBE-4EA5-9F18-B13571E4CE85}"/>
            </a:ext>
          </a:extLst>
        </xdr:cNvPr>
        <xdr:cNvPicPr>
          <a:picLocks noChangeAspect="1"/>
        </xdr:cNvPicPr>
      </xdr:nvPicPr>
      <xdr:blipFill>
        <a:blip xmlns:r="http://schemas.openxmlformats.org/officeDocument/2006/relationships" r:embed="rId5"/>
        <a:stretch>
          <a:fillRect/>
        </a:stretch>
      </xdr:blipFill>
      <xdr:spPr>
        <a:xfrm>
          <a:off x="8399508" y="1494670"/>
          <a:ext cx="697895" cy="1024934"/>
        </a:xfrm>
        <a:prstGeom prst="rect">
          <a:avLst/>
        </a:prstGeom>
      </xdr:spPr>
    </xdr:pic>
    <xdr:clientData/>
  </xdr:twoCellAnchor>
  <xdr:twoCellAnchor editAs="oneCell">
    <xdr:from>
      <xdr:col>12</xdr:col>
      <xdr:colOff>208614</xdr:colOff>
      <xdr:row>7</xdr:row>
      <xdr:rowOff>3023</xdr:rowOff>
    </xdr:from>
    <xdr:to>
      <xdr:col>12</xdr:col>
      <xdr:colOff>888970</xdr:colOff>
      <xdr:row>11</xdr:row>
      <xdr:rowOff>10583</xdr:rowOff>
    </xdr:to>
    <xdr:pic>
      <xdr:nvPicPr>
        <xdr:cNvPr id="7" name="Picture 6">
          <a:extLst>
            <a:ext uri="{FF2B5EF4-FFF2-40B4-BE49-F238E27FC236}">
              <a16:creationId xmlns:a16="http://schemas.microsoft.com/office/drawing/2014/main" id="{1F7460B7-139C-430D-A390-4DD74B54D4C0}"/>
            </a:ext>
          </a:extLst>
        </xdr:cNvPr>
        <xdr:cNvPicPr>
          <a:picLocks noChangeAspect="1"/>
        </xdr:cNvPicPr>
      </xdr:nvPicPr>
      <xdr:blipFill>
        <a:blip xmlns:r="http://schemas.openxmlformats.org/officeDocument/2006/relationships" r:embed="rId6"/>
        <a:stretch>
          <a:fillRect/>
        </a:stretch>
      </xdr:blipFill>
      <xdr:spPr>
        <a:xfrm>
          <a:off x="9752664" y="1527023"/>
          <a:ext cx="680356" cy="921960"/>
        </a:xfrm>
        <a:prstGeom prst="rect">
          <a:avLst/>
        </a:prstGeom>
      </xdr:spPr>
    </xdr:pic>
    <xdr:clientData/>
  </xdr:twoCellAnchor>
  <xdr:twoCellAnchor editAs="oneCell">
    <xdr:from>
      <xdr:col>13</xdr:col>
      <xdr:colOff>273474</xdr:colOff>
      <xdr:row>7</xdr:row>
      <xdr:rowOff>13304</xdr:rowOff>
    </xdr:from>
    <xdr:to>
      <xdr:col>13</xdr:col>
      <xdr:colOff>861303</xdr:colOff>
      <xdr:row>10</xdr:row>
      <xdr:rowOff>187549</xdr:rowOff>
    </xdr:to>
    <xdr:pic>
      <xdr:nvPicPr>
        <xdr:cNvPr id="8" name="Picture 7">
          <a:extLst>
            <a:ext uri="{FF2B5EF4-FFF2-40B4-BE49-F238E27FC236}">
              <a16:creationId xmlns:a16="http://schemas.microsoft.com/office/drawing/2014/main" id="{A447395E-6D7C-4273-B4E2-417D55BC3A73}"/>
            </a:ext>
          </a:extLst>
        </xdr:cNvPr>
        <xdr:cNvPicPr>
          <a:picLocks noChangeAspect="1"/>
        </xdr:cNvPicPr>
      </xdr:nvPicPr>
      <xdr:blipFill>
        <a:blip xmlns:r="http://schemas.openxmlformats.org/officeDocument/2006/relationships" r:embed="rId7"/>
        <a:stretch>
          <a:fillRect/>
        </a:stretch>
      </xdr:blipFill>
      <xdr:spPr>
        <a:xfrm>
          <a:off x="10865274" y="1537304"/>
          <a:ext cx="587829" cy="860045"/>
        </a:xfrm>
        <a:prstGeom prst="rect">
          <a:avLst/>
        </a:prstGeom>
      </xdr:spPr>
    </xdr:pic>
    <xdr:clientData/>
  </xdr:twoCellAnchor>
  <xdr:twoCellAnchor editAs="oneCell">
    <xdr:from>
      <xdr:col>6</xdr:col>
      <xdr:colOff>66676</xdr:colOff>
      <xdr:row>22</xdr:row>
      <xdr:rowOff>66676</xdr:rowOff>
    </xdr:from>
    <xdr:to>
      <xdr:col>6</xdr:col>
      <xdr:colOff>574736</xdr:colOff>
      <xdr:row>26</xdr:row>
      <xdr:rowOff>66677</xdr:rowOff>
    </xdr:to>
    <xdr:pic>
      <xdr:nvPicPr>
        <xdr:cNvPr id="9" name="Picture 8">
          <a:extLst>
            <a:ext uri="{FF2B5EF4-FFF2-40B4-BE49-F238E27FC236}">
              <a16:creationId xmlns:a16="http://schemas.microsoft.com/office/drawing/2014/main" id="{3E245D44-08AF-4AAC-96D7-92269D2CE45E}"/>
            </a:ext>
          </a:extLst>
        </xdr:cNvPr>
        <xdr:cNvPicPr>
          <a:picLocks noChangeAspect="1"/>
        </xdr:cNvPicPr>
      </xdr:nvPicPr>
      <xdr:blipFill>
        <a:blip xmlns:r="http://schemas.openxmlformats.org/officeDocument/2006/relationships" r:embed="rId8"/>
        <a:stretch>
          <a:fillRect/>
        </a:stretch>
      </xdr:blipFill>
      <xdr:spPr>
        <a:xfrm>
          <a:off x="4695826" y="5019676"/>
          <a:ext cx="508060" cy="914401"/>
        </a:xfrm>
        <a:prstGeom prst="rect">
          <a:avLst/>
        </a:prstGeom>
      </xdr:spPr>
    </xdr:pic>
    <xdr:clientData/>
  </xdr:twoCellAnchor>
  <xdr:twoCellAnchor editAs="oneCell">
    <xdr:from>
      <xdr:col>7</xdr:col>
      <xdr:colOff>38101</xdr:colOff>
      <xdr:row>22</xdr:row>
      <xdr:rowOff>57150</xdr:rowOff>
    </xdr:from>
    <xdr:to>
      <xdr:col>7</xdr:col>
      <xdr:colOff>583651</xdr:colOff>
      <xdr:row>26</xdr:row>
      <xdr:rowOff>76201</xdr:rowOff>
    </xdr:to>
    <xdr:pic>
      <xdr:nvPicPr>
        <xdr:cNvPr id="10" name="Picture 9">
          <a:extLst>
            <a:ext uri="{FF2B5EF4-FFF2-40B4-BE49-F238E27FC236}">
              <a16:creationId xmlns:a16="http://schemas.microsoft.com/office/drawing/2014/main" id="{E4580A1B-8128-4323-B726-68F15426ED31}"/>
            </a:ext>
          </a:extLst>
        </xdr:cNvPr>
        <xdr:cNvPicPr>
          <a:picLocks noChangeAspect="1"/>
        </xdr:cNvPicPr>
      </xdr:nvPicPr>
      <xdr:blipFill>
        <a:blip xmlns:r="http://schemas.openxmlformats.org/officeDocument/2006/relationships" r:embed="rId9"/>
        <a:stretch>
          <a:fillRect/>
        </a:stretch>
      </xdr:blipFill>
      <xdr:spPr>
        <a:xfrm>
          <a:off x="5715001" y="5010150"/>
          <a:ext cx="545550" cy="933451"/>
        </a:xfrm>
        <a:prstGeom prst="rect">
          <a:avLst/>
        </a:prstGeom>
      </xdr:spPr>
    </xdr:pic>
    <xdr:clientData/>
  </xdr:twoCellAnchor>
  <xdr:twoCellAnchor editAs="oneCell">
    <xdr:from>
      <xdr:col>8</xdr:col>
      <xdr:colOff>47625</xdr:colOff>
      <xdr:row>22</xdr:row>
      <xdr:rowOff>38100</xdr:rowOff>
    </xdr:from>
    <xdr:to>
      <xdr:col>8</xdr:col>
      <xdr:colOff>600074</xdr:colOff>
      <xdr:row>26</xdr:row>
      <xdr:rowOff>66114</xdr:rowOff>
    </xdr:to>
    <xdr:pic>
      <xdr:nvPicPr>
        <xdr:cNvPr id="11" name="Picture 10">
          <a:extLst>
            <a:ext uri="{FF2B5EF4-FFF2-40B4-BE49-F238E27FC236}">
              <a16:creationId xmlns:a16="http://schemas.microsoft.com/office/drawing/2014/main" id="{39A72CA4-1D17-4051-A7DC-E23B65C38434}"/>
            </a:ext>
          </a:extLst>
        </xdr:cNvPr>
        <xdr:cNvPicPr>
          <a:picLocks noChangeAspect="1"/>
        </xdr:cNvPicPr>
      </xdr:nvPicPr>
      <xdr:blipFill>
        <a:blip xmlns:r="http://schemas.openxmlformats.org/officeDocument/2006/relationships" r:embed="rId10"/>
        <a:stretch>
          <a:fillRect/>
        </a:stretch>
      </xdr:blipFill>
      <xdr:spPr>
        <a:xfrm>
          <a:off x="6772275" y="4991100"/>
          <a:ext cx="552449" cy="942414"/>
        </a:xfrm>
        <a:prstGeom prst="rect">
          <a:avLst/>
        </a:prstGeom>
      </xdr:spPr>
    </xdr:pic>
    <xdr:clientData/>
  </xdr:twoCellAnchor>
  <xdr:twoCellAnchor editAs="oneCell">
    <xdr:from>
      <xdr:col>9</xdr:col>
      <xdr:colOff>361951</xdr:colOff>
      <xdr:row>22</xdr:row>
      <xdr:rowOff>19050</xdr:rowOff>
    </xdr:from>
    <xdr:to>
      <xdr:col>10</xdr:col>
      <xdr:colOff>238125</xdr:colOff>
      <xdr:row>26</xdr:row>
      <xdr:rowOff>93394</xdr:rowOff>
    </xdr:to>
    <xdr:pic>
      <xdr:nvPicPr>
        <xdr:cNvPr id="12" name="Picture 11">
          <a:extLst>
            <a:ext uri="{FF2B5EF4-FFF2-40B4-BE49-F238E27FC236}">
              <a16:creationId xmlns:a16="http://schemas.microsoft.com/office/drawing/2014/main" id="{B20F8D7E-5276-470A-9C94-D71F65848ECB}"/>
            </a:ext>
          </a:extLst>
        </xdr:cNvPr>
        <xdr:cNvPicPr>
          <a:picLocks noChangeAspect="1"/>
        </xdr:cNvPicPr>
      </xdr:nvPicPr>
      <xdr:blipFill>
        <a:blip xmlns:r="http://schemas.openxmlformats.org/officeDocument/2006/relationships" r:embed="rId11"/>
        <a:stretch>
          <a:fillRect/>
        </a:stretch>
      </xdr:blipFill>
      <xdr:spPr>
        <a:xfrm>
          <a:off x="8134351" y="4972050"/>
          <a:ext cx="485774" cy="988744"/>
        </a:xfrm>
        <a:prstGeom prst="rect">
          <a:avLst/>
        </a:prstGeom>
      </xdr:spPr>
    </xdr:pic>
    <xdr:clientData/>
  </xdr:twoCellAnchor>
  <xdr:twoCellAnchor editAs="oneCell">
    <xdr:from>
      <xdr:col>11</xdr:col>
      <xdr:colOff>485775</xdr:colOff>
      <xdr:row>22</xdr:row>
      <xdr:rowOff>39158</xdr:rowOff>
    </xdr:from>
    <xdr:to>
      <xdr:col>12</xdr:col>
      <xdr:colOff>610876</xdr:colOff>
      <xdr:row>26</xdr:row>
      <xdr:rowOff>67734</xdr:rowOff>
    </xdr:to>
    <xdr:pic>
      <xdr:nvPicPr>
        <xdr:cNvPr id="13" name="Picture 12">
          <a:extLst>
            <a:ext uri="{FF2B5EF4-FFF2-40B4-BE49-F238E27FC236}">
              <a16:creationId xmlns:a16="http://schemas.microsoft.com/office/drawing/2014/main" id="{D920AD32-8357-416B-BE9C-B11C92E5D58C}"/>
            </a:ext>
          </a:extLst>
        </xdr:cNvPr>
        <xdr:cNvPicPr>
          <a:picLocks noChangeAspect="1"/>
        </xdr:cNvPicPr>
      </xdr:nvPicPr>
      <xdr:blipFill>
        <a:blip xmlns:r="http://schemas.openxmlformats.org/officeDocument/2006/relationships" r:embed="rId12"/>
        <a:stretch>
          <a:fillRect/>
        </a:stretch>
      </xdr:blipFill>
      <xdr:spPr>
        <a:xfrm>
          <a:off x="9477375" y="4992158"/>
          <a:ext cx="677551" cy="942976"/>
        </a:xfrm>
        <a:prstGeom prst="rect">
          <a:avLst/>
        </a:prstGeom>
      </xdr:spPr>
    </xdr:pic>
    <xdr:clientData/>
  </xdr:twoCellAnchor>
  <xdr:twoCellAnchor editAs="oneCell">
    <xdr:from>
      <xdr:col>13</xdr:col>
      <xdr:colOff>466726</xdr:colOff>
      <xdr:row>22</xdr:row>
      <xdr:rowOff>28575</xdr:rowOff>
    </xdr:from>
    <xdr:to>
      <xdr:col>15</xdr:col>
      <xdr:colOff>28576</xdr:colOff>
      <xdr:row>26</xdr:row>
      <xdr:rowOff>44727</xdr:rowOff>
    </xdr:to>
    <xdr:pic>
      <xdr:nvPicPr>
        <xdr:cNvPr id="14" name="Picture 13">
          <a:extLst>
            <a:ext uri="{FF2B5EF4-FFF2-40B4-BE49-F238E27FC236}">
              <a16:creationId xmlns:a16="http://schemas.microsoft.com/office/drawing/2014/main" id="{A7B36D58-649F-40A8-BA8C-B469AF959886}"/>
            </a:ext>
          </a:extLst>
        </xdr:cNvPr>
        <xdr:cNvPicPr>
          <a:picLocks noChangeAspect="1"/>
        </xdr:cNvPicPr>
      </xdr:nvPicPr>
      <xdr:blipFill>
        <a:blip xmlns:r="http://schemas.openxmlformats.org/officeDocument/2006/relationships" r:embed="rId13"/>
        <a:stretch>
          <a:fillRect/>
        </a:stretch>
      </xdr:blipFill>
      <xdr:spPr>
        <a:xfrm>
          <a:off x="11058526" y="4981575"/>
          <a:ext cx="800100" cy="930552"/>
        </a:xfrm>
        <a:prstGeom prst="rect">
          <a:avLst/>
        </a:prstGeom>
      </xdr:spPr>
    </xdr:pic>
    <xdr:clientData/>
  </xdr:twoCellAnchor>
  <xdr:twoCellAnchor editAs="oneCell">
    <xdr:from>
      <xdr:col>16</xdr:col>
      <xdr:colOff>19050</xdr:colOff>
      <xdr:row>22</xdr:row>
      <xdr:rowOff>28576</xdr:rowOff>
    </xdr:from>
    <xdr:to>
      <xdr:col>16</xdr:col>
      <xdr:colOff>561975</xdr:colOff>
      <xdr:row>26</xdr:row>
      <xdr:rowOff>138175</xdr:rowOff>
    </xdr:to>
    <xdr:pic>
      <xdr:nvPicPr>
        <xdr:cNvPr id="15" name="Picture 14">
          <a:extLst>
            <a:ext uri="{FF2B5EF4-FFF2-40B4-BE49-F238E27FC236}">
              <a16:creationId xmlns:a16="http://schemas.microsoft.com/office/drawing/2014/main" id="{D669B3C4-A527-430A-BB2A-686949CA7AD1}"/>
            </a:ext>
          </a:extLst>
        </xdr:cNvPr>
        <xdr:cNvPicPr>
          <a:picLocks noChangeAspect="1"/>
        </xdr:cNvPicPr>
      </xdr:nvPicPr>
      <xdr:blipFill>
        <a:blip xmlns:r="http://schemas.openxmlformats.org/officeDocument/2006/relationships" r:embed="rId14"/>
        <a:stretch>
          <a:fillRect/>
        </a:stretch>
      </xdr:blipFill>
      <xdr:spPr>
        <a:xfrm>
          <a:off x="12458700" y="4981576"/>
          <a:ext cx="542925" cy="1023999"/>
        </a:xfrm>
        <a:prstGeom prst="rect">
          <a:avLst/>
        </a:prstGeom>
      </xdr:spPr>
    </xdr:pic>
    <xdr:clientData/>
  </xdr:twoCellAnchor>
  <xdr:twoCellAnchor editAs="oneCell">
    <xdr:from>
      <xdr:col>17</xdr:col>
      <xdr:colOff>38100</xdr:colOff>
      <xdr:row>22</xdr:row>
      <xdr:rowOff>133350</xdr:rowOff>
    </xdr:from>
    <xdr:to>
      <xdr:col>17</xdr:col>
      <xdr:colOff>576862</xdr:colOff>
      <xdr:row>26</xdr:row>
      <xdr:rowOff>9526</xdr:rowOff>
    </xdr:to>
    <xdr:pic>
      <xdr:nvPicPr>
        <xdr:cNvPr id="16" name="Picture 15">
          <a:extLst>
            <a:ext uri="{FF2B5EF4-FFF2-40B4-BE49-F238E27FC236}">
              <a16:creationId xmlns:a16="http://schemas.microsoft.com/office/drawing/2014/main" id="{FA1EC6BB-F990-4EDE-B5C6-3E7036F87F20}"/>
            </a:ext>
          </a:extLst>
        </xdr:cNvPr>
        <xdr:cNvPicPr>
          <a:picLocks noChangeAspect="1"/>
        </xdr:cNvPicPr>
      </xdr:nvPicPr>
      <xdr:blipFill>
        <a:blip xmlns:r="http://schemas.openxmlformats.org/officeDocument/2006/relationships" r:embed="rId15"/>
        <a:stretch>
          <a:fillRect/>
        </a:stretch>
      </xdr:blipFill>
      <xdr:spPr>
        <a:xfrm>
          <a:off x="13220700" y="5086350"/>
          <a:ext cx="538762" cy="7905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66676</xdr:colOff>
      <xdr:row>4</xdr:row>
      <xdr:rowOff>66676</xdr:rowOff>
    </xdr:from>
    <xdr:to>
      <xdr:col>3</xdr:col>
      <xdr:colOff>574736</xdr:colOff>
      <xdr:row>8</xdr:row>
      <xdr:rowOff>66676</xdr:rowOff>
    </xdr:to>
    <xdr:pic>
      <xdr:nvPicPr>
        <xdr:cNvPr id="2" name="Picture 1">
          <a:extLst>
            <a:ext uri="{FF2B5EF4-FFF2-40B4-BE49-F238E27FC236}">
              <a16:creationId xmlns:a16="http://schemas.microsoft.com/office/drawing/2014/main" id="{CAF5681C-5B41-46CB-B94A-E694E4ED765B}"/>
            </a:ext>
          </a:extLst>
        </xdr:cNvPr>
        <xdr:cNvPicPr>
          <a:picLocks noChangeAspect="1"/>
        </xdr:cNvPicPr>
      </xdr:nvPicPr>
      <xdr:blipFill>
        <a:blip xmlns:r="http://schemas.openxmlformats.org/officeDocument/2006/relationships" r:embed="rId1"/>
        <a:stretch>
          <a:fillRect/>
        </a:stretch>
      </xdr:blipFill>
      <xdr:spPr>
        <a:xfrm>
          <a:off x="1933576" y="981076"/>
          <a:ext cx="508060" cy="914400"/>
        </a:xfrm>
        <a:prstGeom prst="rect">
          <a:avLst/>
        </a:prstGeom>
      </xdr:spPr>
    </xdr:pic>
    <xdr:clientData/>
  </xdr:twoCellAnchor>
  <xdr:twoCellAnchor editAs="oneCell">
    <xdr:from>
      <xdr:col>4</xdr:col>
      <xdr:colOff>38101</xdr:colOff>
      <xdr:row>4</xdr:row>
      <xdr:rowOff>57150</xdr:rowOff>
    </xdr:from>
    <xdr:to>
      <xdr:col>4</xdr:col>
      <xdr:colOff>583651</xdr:colOff>
      <xdr:row>8</xdr:row>
      <xdr:rowOff>76200</xdr:rowOff>
    </xdr:to>
    <xdr:pic>
      <xdr:nvPicPr>
        <xdr:cNvPr id="3" name="Picture 2">
          <a:extLst>
            <a:ext uri="{FF2B5EF4-FFF2-40B4-BE49-F238E27FC236}">
              <a16:creationId xmlns:a16="http://schemas.microsoft.com/office/drawing/2014/main" id="{8FD3C225-5E8D-48F9-B672-29B48F9FA277}"/>
            </a:ext>
          </a:extLst>
        </xdr:cNvPr>
        <xdr:cNvPicPr>
          <a:picLocks noChangeAspect="1"/>
        </xdr:cNvPicPr>
      </xdr:nvPicPr>
      <xdr:blipFill>
        <a:blip xmlns:r="http://schemas.openxmlformats.org/officeDocument/2006/relationships" r:embed="rId2"/>
        <a:stretch>
          <a:fillRect/>
        </a:stretch>
      </xdr:blipFill>
      <xdr:spPr>
        <a:xfrm>
          <a:off x="2590801" y="971550"/>
          <a:ext cx="545550" cy="933450"/>
        </a:xfrm>
        <a:prstGeom prst="rect">
          <a:avLst/>
        </a:prstGeom>
      </xdr:spPr>
    </xdr:pic>
    <xdr:clientData/>
  </xdr:twoCellAnchor>
  <xdr:twoCellAnchor editAs="oneCell">
    <xdr:from>
      <xdr:col>5</xdr:col>
      <xdr:colOff>47625</xdr:colOff>
      <xdr:row>4</xdr:row>
      <xdr:rowOff>38100</xdr:rowOff>
    </xdr:from>
    <xdr:to>
      <xdr:col>5</xdr:col>
      <xdr:colOff>600074</xdr:colOff>
      <xdr:row>8</xdr:row>
      <xdr:rowOff>66113</xdr:rowOff>
    </xdr:to>
    <xdr:pic>
      <xdr:nvPicPr>
        <xdr:cNvPr id="4" name="Picture 3">
          <a:extLst>
            <a:ext uri="{FF2B5EF4-FFF2-40B4-BE49-F238E27FC236}">
              <a16:creationId xmlns:a16="http://schemas.microsoft.com/office/drawing/2014/main" id="{6952F86D-C227-4F25-8B24-8410E82AB648}"/>
            </a:ext>
          </a:extLst>
        </xdr:cNvPr>
        <xdr:cNvPicPr>
          <a:picLocks noChangeAspect="1"/>
        </xdr:cNvPicPr>
      </xdr:nvPicPr>
      <xdr:blipFill>
        <a:blip xmlns:r="http://schemas.openxmlformats.org/officeDocument/2006/relationships" r:embed="rId3"/>
        <a:stretch>
          <a:fillRect/>
        </a:stretch>
      </xdr:blipFill>
      <xdr:spPr>
        <a:xfrm>
          <a:off x="3286125" y="952500"/>
          <a:ext cx="552449" cy="942413"/>
        </a:xfrm>
        <a:prstGeom prst="rect">
          <a:avLst/>
        </a:prstGeom>
      </xdr:spPr>
    </xdr:pic>
    <xdr:clientData/>
  </xdr:twoCellAnchor>
  <xdr:twoCellAnchor editAs="oneCell">
    <xdr:from>
      <xdr:col>6</xdr:col>
      <xdr:colOff>361951</xdr:colOff>
      <xdr:row>4</xdr:row>
      <xdr:rowOff>19050</xdr:rowOff>
    </xdr:from>
    <xdr:to>
      <xdr:col>7</xdr:col>
      <xdr:colOff>161925</xdr:colOff>
      <xdr:row>8</xdr:row>
      <xdr:rowOff>93393</xdr:rowOff>
    </xdr:to>
    <xdr:pic>
      <xdr:nvPicPr>
        <xdr:cNvPr id="5" name="Picture 4">
          <a:extLst>
            <a:ext uri="{FF2B5EF4-FFF2-40B4-BE49-F238E27FC236}">
              <a16:creationId xmlns:a16="http://schemas.microsoft.com/office/drawing/2014/main" id="{E1B8B5E1-69A5-4C16-9ECE-095561627064}"/>
            </a:ext>
          </a:extLst>
        </xdr:cNvPr>
        <xdr:cNvPicPr>
          <a:picLocks noChangeAspect="1"/>
        </xdr:cNvPicPr>
      </xdr:nvPicPr>
      <xdr:blipFill>
        <a:blip xmlns:r="http://schemas.openxmlformats.org/officeDocument/2006/relationships" r:embed="rId4"/>
        <a:stretch>
          <a:fillRect/>
        </a:stretch>
      </xdr:blipFill>
      <xdr:spPr>
        <a:xfrm>
          <a:off x="4286251" y="933450"/>
          <a:ext cx="485774" cy="988743"/>
        </a:xfrm>
        <a:prstGeom prst="rect">
          <a:avLst/>
        </a:prstGeom>
      </xdr:spPr>
    </xdr:pic>
    <xdr:clientData/>
  </xdr:twoCellAnchor>
  <xdr:twoCellAnchor editAs="oneCell">
    <xdr:from>
      <xdr:col>8</xdr:col>
      <xdr:colOff>295275</xdr:colOff>
      <xdr:row>4</xdr:row>
      <xdr:rowOff>28575</xdr:rowOff>
    </xdr:from>
    <xdr:to>
      <xdr:col>9</xdr:col>
      <xdr:colOff>280676</xdr:colOff>
      <xdr:row>8</xdr:row>
      <xdr:rowOff>57150</xdr:rowOff>
    </xdr:to>
    <xdr:pic>
      <xdr:nvPicPr>
        <xdr:cNvPr id="6" name="Picture 5">
          <a:extLst>
            <a:ext uri="{FF2B5EF4-FFF2-40B4-BE49-F238E27FC236}">
              <a16:creationId xmlns:a16="http://schemas.microsoft.com/office/drawing/2014/main" id="{94655406-FDF5-48B7-B968-6F152F63BB89}"/>
            </a:ext>
          </a:extLst>
        </xdr:cNvPr>
        <xdr:cNvPicPr>
          <a:picLocks noChangeAspect="1"/>
        </xdr:cNvPicPr>
      </xdr:nvPicPr>
      <xdr:blipFill>
        <a:blip xmlns:r="http://schemas.openxmlformats.org/officeDocument/2006/relationships" r:embed="rId5"/>
        <a:stretch>
          <a:fillRect/>
        </a:stretch>
      </xdr:blipFill>
      <xdr:spPr>
        <a:xfrm>
          <a:off x="5591175" y="942975"/>
          <a:ext cx="671201" cy="942975"/>
        </a:xfrm>
        <a:prstGeom prst="rect">
          <a:avLst/>
        </a:prstGeom>
      </xdr:spPr>
    </xdr:pic>
    <xdr:clientData/>
  </xdr:twoCellAnchor>
  <xdr:twoCellAnchor editAs="oneCell">
    <xdr:from>
      <xdr:col>10</xdr:col>
      <xdr:colOff>466726</xdr:colOff>
      <xdr:row>4</xdr:row>
      <xdr:rowOff>28575</xdr:rowOff>
    </xdr:from>
    <xdr:to>
      <xdr:col>11</xdr:col>
      <xdr:colOff>581026</xdr:colOff>
      <xdr:row>8</xdr:row>
      <xdr:rowOff>44726</xdr:rowOff>
    </xdr:to>
    <xdr:pic>
      <xdr:nvPicPr>
        <xdr:cNvPr id="7" name="Picture 6">
          <a:extLst>
            <a:ext uri="{FF2B5EF4-FFF2-40B4-BE49-F238E27FC236}">
              <a16:creationId xmlns:a16="http://schemas.microsoft.com/office/drawing/2014/main" id="{7E197AD0-6786-40E5-A6C1-A96B703A92A5}"/>
            </a:ext>
          </a:extLst>
        </xdr:cNvPr>
        <xdr:cNvPicPr>
          <a:picLocks noChangeAspect="1"/>
        </xdr:cNvPicPr>
      </xdr:nvPicPr>
      <xdr:blipFill>
        <a:blip xmlns:r="http://schemas.openxmlformats.org/officeDocument/2006/relationships" r:embed="rId6"/>
        <a:stretch>
          <a:fillRect/>
        </a:stretch>
      </xdr:blipFill>
      <xdr:spPr>
        <a:xfrm>
          <a:off x="7134226" y="942975"/>
          <a:ext cx="800100" cy="930551"/>
        </a:xfrm>
        <a:prstGeom prst="rect">
          <a:avLst/>
        </a:prstGeom>
      </xdr:spPr>
    </xdr:pic>
    <xdr:clientData/>
  </xdr:twoCellAnchor>
  <xdr:twoCellAnchor editAs="oneCell">
    <xdr:from>
      <xdr:col>13</xdr:col>
      <xdr:colOff>19050</xdr:colOff>
      <xdr:row>4</xdr:row>
      <xdr:rowOff>28576</xdr:rowOff>
    </xdr:from>
    <xdr:to>
      <xdr:col>13</xdr:col>
      <xdr:colOff>561975</xdr:colOff>
      <xdr:row>8</xdr:row>
      <xdr:rowOff>138174</xdr:rowOff>
    </xdr:to>
    <xdr:pic>
      <xdr:nvPicPr>
        <xdr:cNvPr id="8" name="Picture 7">
          <a:extLst>
            <a:ext uri="{FF2B5EF4-FFF2-40B4-BE49-F238E27FC236}">
              <a16:creationId xmlns:a16="http://schemas.microsoft.com/office/drawing/2014/main" id="{CCE4B174-A6AC-46F5-9ACA-3D95DD925CA7}"/>
            </a:ext>
          </a:extLst>
        </xdr:cNvPr>
        <xdr:cNvPicPr>
          <a:picLocks noChangeAspect="1"/>
        </xdr:cNvPicPr>
      </xdr:nvPicPr>
      <xdr:blipFill>
        <a:blip xmlns:r="http://schemas.openxmlformats.org/officeDocument/2006/relationships" r:embed="rId7"/>
        <a:stretch>
          <a:fillRect/>
        </a:stretch>
      </xdr:blipFill>
      <xdr:spPr>
        <a:xfrm>
          <a:off x="8743950" y="942976"/>
          <a:ext cx="542925" cy="1023998"/>
        </a:xfrm>
        <a:prstGeom prst="rect">
          <a:avLst/>
        </a:prstGeom>
      </xdr:spPr>
    </xdr:pic>
    <xdr:clientData/>
  </xdr:twoCellAnchor>
  <xdr:twoCellAnchor editAs="oneCell">
    <xdr:from>
      <xdr:col>14</xdr:col>
      <xdr:colOff>38100</xdr:colOff>
      <xdr:row>4</xdr:row>
      <xdr:rowOff>133350</xdr:rowOff>
    </xdr:from>
    <xdr:to>
      <xdr:col>14</xdr:col>
      <xdr:colOff>576862</xdr:colOff>
      <xdr:row>8</xdr:row>
      <xdr:rowOff>9525</xdr:rowOff>
    </xdr:to>
    <xdr:pic>
      <xdr:nvPicPr>
        <xdr:cNvPr id="9" name="Picture 8">
          <a:extLst>
            <a:ext uri="{FF2B5EF4-FFF2-40B4-BE49-F238E27FC236}">
              <a16:creationId xmlns:a16="http://schemas.microsoft.com/office/drawing/2014/main" id="{0ACA78F5-886E-4045-B2B2-59D0FD75EC75}"/>
            </a:ext>
          </a:extLst>
        </xdr:cNvPr>
        <xdr:cNvPicPr>
          <a:picLocks noChangeAspect="1"/>
        </xdr:cNvPicPr>
      </xdr:nvPicPr>
      <xdr:blipFill>
        <a:blip xmlns:r="http://schemas.openxmlformats.org/officeDocument/2006/relationships" r:embed="rId8"/>
        <a:stretch>
          <a:fillRect/>
        </a:stretch>
      </xdr:blipFill>
      <xdr:spPr>
        <a:xfrm>
          <a:off x="9448800" y="1047750"/>
          <a:ext cx="538762" cy="7905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28575</xdr:colOff>
      <xdr:row>8</xdr:row>
      <xdr:rowOff>133350</xdr:rowOff>
    </xdr:from>
    <xdr:to>
      <xdr:col>7</xdr:col>
      <xdr:colOff>428625</xdr:colOff>
      <xdr:row>14</xdr:row>
      <xdr:rowOff>142875</xdr:rowOff>
    </xdr:to>
    <xdr:pic>
      <xdr:nvPicPr>
        <xdr:cNvPr id="2" name="Picture 9" descr="2 Point lift calc.wm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1848" b="21735"/>
        <a:stretch>
          <a:fillRect/>
        </a:stretch>
      </xdr:blipFill>
      <xdr:spPr bwMode="auto">
        <a:xfrm>
          <a:off x="428625" y="1504950"/>
          <a:ext cx="41910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133350</xdr:colOff>
          <xdr:row>2</xdr:row>
          <xdr:rowOff>28575</xdr:rowOff>
        </xdr:from>
        <xdr:to>
          <xdr:col>13</xdr:col>
          <xdr:colOff>390525</xdr:colOff>
          <xdr:row>22</xdr:row>
          <xdr:rowOff>47625</xdr:rowOff>
        </xdr:to>
        <xdr:sp macro="" textlink="">
          <xdr:nvSpPr>
            <xdr:cNvPr id="24577" name="Picture 3" hidden="1">
              <a:extLst>
                <a:ext uri="{63B3BB69-23CF-44E3-9099-C40C66FF867C}">
                  <a14:compatExt spid="_x0000_s24577"/>
                </a:ext>
                <a:ext uri="{FF2B5EF4-FFF2-40B4-BE49-F238E27FC236}">
                  <a16:creationId xmlns:a16="http://schemas.microsoft.com/office/drawing/2014/main" id="{00000000-0008-0000-0E00-000001600000}"/>
                </a:ext>
              </a:extLst>
            </xdr:cNvPr>
            <xdr:cNvSpPr/>
          </xdr:nvSpPr>
          <xdr:spPr bwMode="auto">
            <a:xfrm>
              <a:off x="0" y="0"/>
              <a:ext cx="0" cy="0"/>
            </a:xfrm>
            <a:prstGeom prst="rect">
              <a:avLst/>
            </a:prstGeom>
            <a:noFill/>
            <a:ln>
              <a:noFill/>
            </a:ln>
            <a:effectLst>
              <a:outerShdw dist="35921" dir="2700000" algn="ctr" rotWithShape="0">
                <a:srgbClr val="000000"/>
              </a:outerShdw>
            </a:effectLst>
            <a:extLst>
              <a:ext uri="{909E8E84-426E-40DD-AFC4-6F175D3DCCD1}">
                <a14:hiddenFill>
                  <a:solidFill>
                    <a:srgbClr val="FFFFFF" mc:Ignorable="a14" a14:legacySpreadsheetColorIndex="65">
                      <a:alpha val="0"/>
                    </a:srgbClr>
                  </a:solidFill>
                </a14:hiddenFill>
              </a:ext>
              <a:ext uri="{91240B29-F687-4F45-9708-019B960494DF}">
                <a14:hiddenLine w="0">
                  <a:solidFill>
                    <a:srgbClr val="FFFFFF" mc:Ignorable="a14" a14:legacySpreadsheetColorIndex="9"/>
                  </a:solidFill>
                  <a:miter lim="800000"/>
                  <a:headEnd/>
                  <a:tailEnd/>
                </a14:hiddenLine>
              </a:ext>
              <a:ext uri="{53640926-AAD7-44D8-BBD7-CCE9431645EC}">
                <a14:shadowObscured val="1"/>
              </a:ext>
            </a:extLst>
          </xdr:spPr>
        </xdr:sp>
        <xdr:clientData fLocksWithSheet="0"/>
      </xdr:twoCellAnchor>
    </mc:Choice>
    <mc:Fallback/>
  </mc:AlternateContent>
  <xdr:twoCellAnchor>
    <xdr:from>
      <xdr:col>3</xdr:col>
      <xdr:colOff>391584</xdr:colOff>
      <xdr:row>3</xdr:row>
      <xdr:rowOff>52917</xdr:rowOff>
    </xdr:from>
    <xdr:to>
      <xdr:col>8</xdr:col>
      <xdr:colOff>867834</xdr:colOff>
      <xdr:row>3</xdr:row>
      <xdr:rowOff>190500</xdr:rowOff>
    </xdr:to>
    <xdr:sp macro="" textlink="">
      <xdr:nvSpPr>
        <xdr:cNvPr id="2" name="Arrow: Right 1">
          <a:extLst>
            <a:ext uri="{FF2B5EF4-FFF2-40B4-BE49-F238E27FC236}">
              <a16:creationId xmlns:a16="http://schemas.microsoft.com/office/drawing/2014/main" id="{DAECD746-0EDA-4EF9-84C9-690DA2F49035}"/>
            </a:ext>
          </a:extLst>
        </xdr:cNvPr>
        <xdr:cNvSpPr/>
      </xdr:nvSpPr>
      <xdr:spPr>
        <a:xfrm>
          <a:off x="2741084" y="656167"/>
          <a:ext cx="5334000" cy="13758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301297</xdr:colOff>
      <xdr:row>25</xdr:row>
      <xdr:rowOff>149842</xdr:rowOff>
    </xdr:from>
    <xdr:to>
      <xdr:col>8</xdr:col>
      <xdr:colOff>921479</xdr:colOff>
      <xdr:row>26</xdr:row>
      <xdr:rowOff>113861</xdr:rowOff>
    </xdr:to>
    <xdr:sp macro="" textlink="">
      <xdr:nvSpPr>
        <xdr:cNvPr id="3" name="Arrow: Right 2">
          <a:extLst>
            <a:ext uri="{FF2B5EF4-FFF2-40B4-BE49-F238E27FC236}">
              <a16:creationId xmlns:a16="http://schemas.microsoft.com/office/drawing/2014/main" id="{96EFE896-A6D0-4B60-A65C-B9BA18A17B40}"/>
            </a:ext>
          </a:extLst>
        </xdr:cNvPr>
        <xdr:cNvSpPr/>
      </xdr:nvSpPr>
      <xdr:spPr>
        <a:xfrm rot="10800000">
          <a:off x="7487745" y="5365601"/>
          <a:ext cx="620182" cy="154519"/>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9</xdr:col>
      <xdr:colOff>7409</xdr:colOff>
      <xdr:row>3</xdr:row>
      <xdr:rowOff>21167</xdr:rowOff>
    </xdr:from>
    <xdr:ext cx="5993341" cy="4163006"/>
    <xdr:pic>
      <xdr:nvPicPr>
        <xdr:cNvPr id="2" name="Picture 1">
          <a:extLst>
            <a:ext uri="{FF2B5EF4-FFF2-40B4-BE49-F238E27FC236}">
              <a16:creationId xmlns:a16="http://schemas.microsoft.com/office/drawing/2014/main" id="{EE91F3E3-B803-4EE4-98CA-1F2F7E946B31}"/>
            </a:ext>
          </a:extLst>
        </xdr:cNvPr>
        <xdr:cNvPicPr>
          <a:picLocks noChangeAspect="1"/>
        </xdr:cNvPicPr>
      </xdr:nvPicPr>
      <xdr:blipFill>
        <a:blip xmlns:r="http://schemas.openxmlformats.org/officeDocument/2006/relationships" r:embed="rId1"/>
        <a:stretch>
          <a:fillRect/>
        </a:stretch>
      </xdr:blipFill>
      <xdr:spPr>
        <a:xfrm>
          <a:off x="5493809" y="592667"/>
          <a:ext cx="5993341" cy="4163006"/>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12</xdr:col>
      <xdr:colOff>89647</xdr:colOff>
      <xdr:row>18</xdr:row>
      <xdr:rowOff>111615</xdr:rowOff>
    </xdr:from>
    <xdr:to>
      <xdr:col>37</xdr:col>
      <xdr:colOff>90589</xdr:colOff>
      <xdr:row>50</xdr:row>
      <xdr:rowOff>115678</xdr:rowOff>
    </xdr:to>
    <xdr:pic>
      <xdr:nvPicPr>
        <xdr:cNvPr id="19" name="Picture 18">
          <a:extLst>
            <a:ext uri="{FF2B5EF4-FFF2-40B4-BE49-F238E27FC236}">
              <a16:creationId xmlns:a16="http://schemas.microsoft.com/office/drawing/2014/main" id="{743F1DB1-9B7B-1403-400B-966F80B3315C}"/>
            </a:ext>
          </a:extLst>
        </xdr:cNvPr>
        <xdr:cNvPicPr>
          <a:picLocks noChangeAspect="1"/>
        </xdr:cNvPicPr>
      </xdr:nvPicPr>
      <xdr:blipFill>
        <a:blip xmlns:r="http://schemas.openxmlformats.org/officeDocument/2006/relationships" r:embed="rId1"/>
        <a:stretch>
          <a:fillRect/>
        </a:stretch>
      </xdr:blipFill>
      <xdr:spPr>
        <a:xfrm>
          <a:off x="3585882" y="3820762"/>
          <a:ext cx="6421913" cy="614488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6</xdr:col>
      <xdr:colOff>247650</xdr:colOff>
      <xdr:row>2</xdr:row>
      <xdr:rowOff>76200</xdr:rowOff>
    </xdr:from>
    <xdr:ext cx="4357189" cy="4369858"/>
    <xdr:pic>
      <xdr:nvPicPr>
        <xdr:cNvPr id="2" name="Picture 1">
          <a:extLst>
            <a:ext uri="{FF2B5EF4-FFF2-40B4-BE49-F238E27FC236}">
              <a16:creationId xmlns:a16="http://schemas.microsoft.com/office/drawing/2014/main" id="{22BF57BA-C901-4836-B7A2-5A526BD7F13C}"/>
            </a:ext>
          </a:extLst>
        </xdr:cNvPr>
        <xdr:cNvPicPr>
          <a:picLocks noChangeAspect="1"/>
        </xdr:cNvPicPr>
      </xdr:nvPicPr>
      <xdr:blipFill>
        <a:blip xmlns:r="http://schemas.openxmlformats.org/officeDocument/2006/relationships" r:embed="rId1"/>
        <a:stretch>
          <a:fillRect/>
        </a:stretch>
      </xdr:blipFill>
      <xdr:spPr>
        <a:xfrm>
          <a:off x="4512733" y="478367"/>
          <a:ext cx="4357189" cy="4369858"/>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4</xdr:col>
      <xdr:colOff>38100</xdr:colOff>
      <xdr:row>2</xdr:row>
      <xdr:rowOff>57150</xdr:rowOff>
    </xdr:from>
    <xdr:ext cx="3322385" cy="3153833"/>
    <xdr:pic>
      <xdr:nvPicPr>
        <xdr:cNvPr id="2" name="Picture 1">
          <a:extLst>
            <a:ext uri="{FF2B5EF4-FFF2-40B4-BE49-F238E27FC236}">
              <a16:creationId xmlns:a16="http://schemas.microsoft.com/office/drawing/2014/main" id="{888BC4A9-87A9-49AE-8118-C642893ABDDC}"/>
            </a:ext>
          </a:extLst>
        </xdr:cNvPr>
        <xdr:cNvPicPr>
          <a:picLocks noChangeAspect="1"/>
        </xdr:cNvPicPr>
      </xdr:nvPicPr>
      <xdr:blipFill>
        <a:blip xmlns:r="http://schemas.openxmlformats.org/officeDocument/2006/relationships" r:embed="rId1"/>
        <a:stretch>
          <a:fillRect/>
        </a:stretch>
      </xdr:blipFill>
      <xdr:spPr>
        <a:xfrm>
          <a:off x="3033183" y="522817"/>
          <a:ext cx="3322385" cy="3153833"/>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0</xdr:col>
      <xdr:colOff>285749</xdr:colOff>
      <xdr:row>13</xdr:row>
      <xdr:rowOff>142876</xdr:rowOff>
    </xdr:from>
    <xdr:to>
      <xdr:col>6</xdr:col>
      <xdr:colOff>292099</xdr:colOff>
      <xdr:row>24</xdr:row>
      <xdr:rowOff>85726</xdr:rowOff>
    </xdr:to>
    <xdr:pic>
      <xdr:nvPicPr>
        <xdr:cNvPr id="2" name="Picture 20" descr="4 Point lift calc.wmf">
          <a:extLst>
            <a:ext uri="{FF2B5EF4-FFF2-40B4-BE49-F238E27FC236}">
              <a16:creationId xmlns:a16="http://schemas.microsoft.com/office/drawing/2014/main" id="{3F99D05D-A38D-4158-A5E5-F7DB49DC8E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647" t="15428" r="26740" b="20946"/>
        <a:stretch>
          <a:fillRect/>
        </a:stretch>
      </xdr:blipFill>
      <xdr:spPr bwMode="auto">
        <a:xfrm>
          <a:off x="285749" y="3143251"/>
          <a:ext cx="4483100" cy="2457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95250</xdr:colOff>
      <xdr:row>13</xdr:row>
      <xdr:rowOff>130176</xdr:rowOff>
    </xdr:from>
    <xdr:to>
      <xdr:col>13</xdr:col>
      <xdr:colOff>591609</xdr:colOff>
      <xdr:row>24</xdr:row>
      <xdr:rowOff>44451</xdr:rowOff>
    </xdr:to>
    <xdr:pic>
      <xdr:nvPicPr>
        <xdr:cNvPr id="3" name="Picture 22" descr="4 Point lift calc 2.wmf">
          <a:extLst>
            <a:ext uri="{FF2B5EF4-FFF2-40B4-BE49-F238E27FC236}">
              <a16:creationId xmlns:a16="http://schemas.microsoft.com/office/drawing/2014/main" id="{C9835876-79FC-49E9-A289-5D0E14A1E8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7763" t="50111" r="36549" b="6982"/>
        <a:stretch>
          <a:fillRect/>
        </a:stretch>
      </xdr:blipFill>
      <xdr:spPr bwMode="auto">
        <a:xfrm>
          <a:off x="5943600" y="3130551"/>
          <a:ext cx="4506384" cy="2428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21167</xdr:colOff>
      <xdr:row>6</xdr:row>
      <xdr:rowOff>52916</xdr:rowOff>
    </xdr:from>
    <xdr:to>
      <xdr:col>43</xdr:col>
      <xdr:colOff>201085</xdr:colOff>
      <xdr:row>21</xdr:row>
      <xdr:rowOff>173990</xdr:rowOff>
    </xdr:to>
    <xdr:pic>
      <xdr:nvPicPr>
        <xdr:cNvPr id="2" name="Picture 1">
          <a:extLst>
            <a:ext uri="{FF2B5EF4-FFF2-40B4-BE49-F238E27FC236}">
              <a16:creationId xmlns:a16="http://schemas.microsoft.com/office/drawing/2014/main" id="{C9BAD3E6-3AB0-4598-BA5E-5DFA7EDAD0E2}"/>
            </a:ext>
          </a:extLst>
        </xdr:cNvPr>
        <xdr:cNvPicPr>
          <a:picLocks noChangeAspect="1"/>
        </xdr:cNvPicPr>
      </xdr:nvPicPr>
      <xdr:blipFill>
        <a:blip xmlns:r="http://schemas.openxmlformats.org/officeDocument/2006/relationships" r:embed="rId1"/>
        <a:stretch>
          <a:fillRect/>
        </a:stretch>
      </xdr:blipFill>
      <xdr:spPr>
        <a:xfrm>
          <a:off x="2821517" y="1424516"/>
          <a:ext cx="8352368" cy="355007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222250</xdr:colOff>
      <xdr:row>6</xdr:row>
      <xdr:rowOff>148166</xdr:rowOff>
    </xdr:from>
    <xdr:to>
      <xdr:col>12</xdr:col>
      <xdr:colOff>455083</xdr:colOff>
      <xdr:row>33</xdr:row>
      <xdr:rowOff>183526</xdr:rowOff>
    </xdr:to>
    <xdr:pic>
      <xdr:nvPicPr>
        <xdr:cNvPr id="2" name="Picture 1">
          <a:extLst>
            <a:ext uri="{FF2B5EF4-FFF2-40B4-BE49-F238E27FC236}">
              <a16:creationId xmlns:a16="http://schemas.microsoft.com/office/drawing/2014/main" id="{027F4AEF-0563-49C5-8440-2778C265BF77}"/>
            </a:ext>
          </a:extLst>
        </xdr:cNvPr>
        <xdr:cNvPicPr>
          <a:picLocks noChangeAspect="1"/>
        </xdr:cNvPicPr>
      </xdr:nvPicPr>
      <xdr:blipFill>
        <a:blip xmlns:r="http://schemas.openxmlformats.org/officeDocument/2006/relationships" r:embed="rId1"/>
        <a:stretch>
          <a:fillRect/>
        </a:stretch>
      </xdr:blipFill>
      <xdr:spPr>
        <a:xfrm>
          <a:off x="3422650" y="1519766"/>
          <a:ext cx="5109633" cy="62075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55914</xdr:colOff>
      <xdr:row>5</xdr:row>
      <xdr:rowOff>21431</xdr:rowOff>
    </xdr:from>
    <xdr:to>
      <xdr:col>3</xdr:col>
      <xdr:colOff>238974</xdr:colOff>
      <xdr:row>10</xdr:row>
      <xdr:rowOff>55247</xdr:rowOff>
    </xdr:to>
    <xdr:pic>
      <xdr:nvPicPr>
        <xdr:cNvPr id="2" name="Picture 1">
          <a:extLst>
            <a:ext uri="{FF2B5EF4-FFF2-40B4-BE49-F238E27FC236}">
              <a16:creationId xmlns:a16="http://schemas.microsoft.com/office/drawing/2014/main" id="{57974B5C-2836-407F-A223-F763236DD7E7}"/>
            </a:ext>
          </a:extLst>
        </xdr:cNvPr>
        <xdr:cNvPicPr>
          <a:picLocks noChangeAspect="1"/>
        </xdr:cNvPicPr>
      </xdr:nvPicPr>
      <xdr:blipFill>
        <a:blip xmlns:r="http://schemas.openxmlformats.org/officeDocument/2006/relationships" r:embed="rId1"/>
        <a:stretch>
          <a:fillRect/>
        </a:stretch>
      </xdr:blipFill>
      <xdr:spPr>
        <a:xfrm flipH="1">
          <a:off x="2122839" y="1126331"/>
          <a:ext cx="183060" cy="1176816"/>
        </a:xfrm>
        <a:prstGeom prst="rect">
          <a:avLst/>
        </a:prstGeom>
      </xdr:spPr>
    </xdr:pic>
    <xdr:clientData/>
  </xdr:twoCellAnchor>
  <xdr:twoCellAnchor editAs="oneCell">
    <xdr:from>
      <xdr:col>3</xdr:col>
      <xdr:colOff>327421</xdr:colOff>
      <xdr:row>5</xdr:row>
      <xdr:rowOff>19561</xdr:rowOff>
    </xdr:from>
    <xdr:to>
      <xdr:col>3</xdr:col>
      <xdr:colOff>545135</xdr:colOff>
      <xdr:row>10</xdr:row>
      <xdr:rowOff>45907</xdr:rowOff>
    </xdr:to>
    <xdr:pic>
      <xdr:nvPicPr>
        <xdr:cNvPr id="3" name="Picture 2">
          <a:extLst>
            <a:ext uri="{FF2B5EF4-FFF2-40B4-BE49-F238E27FC236}">
              <a16:creationId xmlns:a16="http://schemas.microsoft.com/office/drawing/2014/main" id="{4A377AE3-E810-42C9-BCFE-560FDA598063}"/>
            </a:ext>
          </a:extLst>
        </xdr:cNvPr>
        <xdr:cNvPicPr>
          <a:picLocks noChangeAspect="1"/>
        </xdr:cNvPicPr>
      </xdr:nvPicPr>
      <xdr:blipFill>
        <a:blip xmlns:r="http://schemas.openxmlformats.org/officeDocument/2006/relationships" r:embed="rId2"/>
        <a:stretch>
          <a:fillRect/>
        </a:stretch>
      </xdr:blipFill>
      <xdr:spPr>
        <a:xfrm>
          <a:off x="2394346" y="1124461"/>
          <a:ext cx="217714" cy="1169346"/>
        </a:xfrm>
        <a:prstGeom prst="rect">
          <a:avLst/>
        </a:prstGeom>
      </xdr:spPr>
    </xdr:pic>
    <xdr:clientData/>
  </xdr:twoCellAnchor>
  <xdr:twoCellAnchor editAs="oneCell">
    <xdr:from>
      <xdr:col>4</xdr:col>
      <xdr:colOff>25004</xdr:colOff>
      <xdr:row>4</xdr:row>
      <xdr:rowOff>215504</xdr:rowOff>
    </xdr:from>
    <xdr:to>
      <xdr:col>4</xdr:col>
      <xdr:colOff>678491</xdr:colOff>
      <xdr:row>9</xdr:row>
      <xdr:rowOff>142875</xdr:rowOff>
    </xdr:to>
    <xdr:pic>
      <xdr:nvPicPr>
        <xdr:cNvPr id="4" name="Picture 3">
          <a:extLst>
            <a:ext uri="{FF2B5EF4-FFF2-40B4-BE49-F238E27FC236}">
              <a16:creationId xmlns:a16="http://schemas.microsoft.com/office/drawing/2014/main" id="{B020FF25-D785-427D-8180-EFA46CBA657F}"/>
            </a:ext>
          </a:extLst>
        </xdr:cNvPr>
        <xdr:cNvPicPr>
          <a:picLocks noChangeAspect="1"/>
        </xdr:cNvPicPr>
      </xdr:nvPicPr>
      <xdr:blipFill>
        <a:blip xmlns:r="http://schemas.openxmlformats.org/officeDocument/2006/relationships" r:embed="rId3"/>
        <a:stretch>
          <a:fillRect/>
        </a:stretch>
      </xdr:blipFill>
      <xdr:spPr>
        <a:xfrm>
          <a:off x="2806304" y="1091804"/>
          <a:ext cx="653487" cy="1070371"/>
        </a:xfrm>
        <a:prstGeom prst="rect">
          <a:avLst/>
        </a:prstGeom>
      </xdr:spPr>
    </xdr:pic>
    <xdr:clientData/>
  </xdr:twoCellAnchor>
  <xdr:twoCellAnchor editAs="oneCell">
    <xdr:from>
      <xdr:col>5</xdr:col>
      <xdr:colOff>40822</xdr:colOff>
      <xdr:row>4</xdr:row>
      <xdr:rowOff>210912</xdr:rowOff>
    </xdr:from>
    <xdr:to>
      <xdr:col>5</xdr:col>
      <xdr:colOff>666566</xdr:colOff>
      <xdr:row>9</xdr:row>
      <xdr:rowOff>153762</xdr:rowOff>
    </xdr:to>
    <xdr:pic>
      <xdr:nvPicPr>
        <xdr:cNvPr id="5" name="Picture 4">
          <a:extLst>
            <a:ext uri="{FF2B5EF4-FFF2-40B4-BE49-F238E27FC236}">
              <a16:creationId xmlns:a16="http://schemas.microsoft.com/office/drawing/2014/main" id="{A25BEC7E-4C40-4084-89E8-916005063DED}"/>
            </a:ext>
          </a:extLst>
        </xdr:cNvPr>
        <xdr:cNvPicPr>
          <a:picLocks noChangeAspect="1"/>
        </xdr:cNvPicPr>
      </xdr:nvPicPr>
      <xdr:blipFill>
        <a:blip xmlns:r="http://schemas.openxmlformats.org/officeDocument/2006/relationships" r:embed="rId4"/>
        <a:stretch>
          <a:fillRect/>
        </a:stretch>
      </xdr:blipFill>
      <xdr:spPr>
        <a:xfrm>
          <a:off x="3536497" y="1087212"/>
          <a:ext cx="625744" cy="1085850"/>
        </a:xfrm>
        <a:prstGeom prst="rect">
          <a:avLst/>
        </a:prstGeom>
      </xdr:spPr>
    </xdr:pic>
    <xdr:clientData/>
  </xdr:twoCellAnchor>
  <xdr:twoCellAnchor editAs="oneCell">
    <xdr:from>
      <xdr:col>7</xdr:col>
      <xdr:colOff>1</xdr:colOff>
      <xdr:row>5</xdr:row>
      <xdr:rowOff>5444</xdr:rowOff>
    </xdr:from>
    <xdr:to>
      <xdr:col>7</xdr:col>
      <xdr:colOff>702129</xdr:colOff>
      <xdr:row>9</xdr:row>
      <xdr:rowOff>137145</xdr:rowOff>
    </xdr:to>
    <xdr:pic>
      <xdr:nvPicPr>
        <xdr:cNvPr id="6" name="Picture 5">
          <a:extLst>
            <a:ext uri="{FF2B5EF4-FFF2-40B4-BE49-F238E27FC236}">
              <a16:creationId xmlns:a16="http://schemas.microsoft.com/office/drawing/2014/main" id="{1E0D950B-68F9-496E-A4F5-C7DDFFB71B3F}"/>
            </a:ext>
          </a:extLst>
        </xdr:cNvPr>
        <xdr:cNvPicPr>
          <a:picLocks noChangeAspect="1"/>
        </xdr:cNvPicPr>
      </xdr:nvPicPr>
      <xdr:blipFill>
        <a:blip xmlns:r="http://schemas.openxmlformats.org/officeDocument/2006/relationships" r:embed="rId5"/>
        <a:stretch>
          <a:fillRect/>
        </a:stretch>
      </xdr:blipFill>
      <xdr:spPr>
        <a:xfrm>
          <a:off x="4924426" y="1110344"/>
          <a:ext cx="702128" cy="1046101"/>
        </a:xfrm>
        <a:prstGeom prst="rect">
          <a:avLst/>
        </a:prstGeom>
      </xdr:spPr>
    </xdr:pic>
    <xdr:clientData/>
  </xdr:twoCellAnchor>
  <xdr:twoCellAnchor editAs="oneCell">
    <xdr:from>
      <xdr:col>9</xdr:col>
      <xdr:colOff>21772</xdr:colOff>
      <xdr:row>4</xdr:row>
      <xdr:rowOff>217715</xdr:rowOff>
    </xdr:from>
    <xdr:to>
      <xdr:col>9</xdr:col>
      <xdr:colOff>702128</xdr:colOff>
      <xdr:row>8</xdr:row>
      <xdr:rowOff>135817</xdr:rowOff>
    </xdr:to>
    <xdr:pic>
      <xdr:nvPicPr>
        <xdr:cNvPr id="7" name="Picture 6">
          <a:extLst>
            <a:ext uri="{FF2B5EF4-FFF2-40B4-BE49-F238E27FC236}">
              <a16:creationId xmlns:a16="http://schemas.microsoft.com/office/drawing/2014/main" id="{2D3011C1-6A97-44FE-957C-AC504C8677F7}"/>
            </a:ext>
          </a:extLst>
        </xdr:cNvPr>
        <xdr:cNvPicPr>
          <a:picLocks noChangeAspect="1"/>
        </xdr:cNvPicPr>
      </xdr:nvPicPr>
      <xdr:blipFill>
        <a:blip xmlns:r="http://schemas.openxmlformats.org/officeDocument/2006/relationships" r:embed="rId6"/>
        <a:stretch>
          <a:fillRect/>
        </a:stretch>
      </xdr:blipFill>
      <xdr:spPr>
        <a:xfrm>
          <a:off x="6374947" y="1094015"/>
          <a:ext cx="680356" cy="832502"/>
        </a:xfrm>
        <a:prstGeom prst="rect">
          <a:avLst/>
        </a:prstGeom>
      </xdr:spPr>
    </xdr:pic>
    <xdr:clientData/>
  </xdr:twoCellAnchor>
  <xdr:twoCellAnchor editAs="oneCell">
    <xdr:from>
      <xdr:col>10</xdr:col>
      <xdr:colOff>70757</xdr:colOff>
      <xdr:row>4</xdr:row>
      <xdr:rowOff>206829</xdr:rowOff>
    </xdr:from>
    <xdr:to>
      <xdr:col>10</xdr:col>
      <xdr:colOff>658586</xdr:colOff>
      <xdr:row>8</xdr:row>
      <xdr:rowOff>165174</xdr:rowOff>
    </xdr:to>
    <xdr:pic>
      <xdr:nvPicPr>
        <xdr:cNvPr id="8" name="Picture 7">
          <a:extLst>
            <a:ext uri="{FF2B5EF4-FFF2-40B4-BE49-F238E27FC236}">
              <a16:creationId xmlns:a16="http://schemas.microsoft.com/office/drawing/2014/main" id="{5F0B180A-BC61-4418-BC0A-E604B10F9CA4}"/>
            </a:ext>
          </a:extLst>
        </xdr:cNvPr>
        <xdr:cNvPicPr>
          <a:picLocks noChangeAspect="1"/>
        </xdr:cNvPicPr>
      </xdr:nvPicPr>
      <xdr:blipFill>
        <a:blip xmlns:r="http://schemas.openxmlformats.org/officeDocument/2006/relationships" r:embed="rId7"/>
        <a:stretch>
          <a:fillRect/>
        </a:stretch>
      </xdr:blipFill>
      <xdr:spPr>
        <a:xfrm>
          <a:off x="7138307" y="1083129"/>
          <a:ext cx="587829" cy="872745"/>
        </a:xfrm>
        <a:prstGeom prst="rect">
          <a:avLst/>
        </a:prstGeom>
      </xdr:spPr>
    </xdr:pic>
    <xdr:clientData/>
  </xdr:twoCellAnchor>
  <xdr:twoCellAnchor editAs="oneCell">
    <xdr:from>
      <xdr:col>2</xdr:col>
      <xdr:colOff>23284</xdr:colOff>
      <xdr:row>9</xdr:row>
      <xdr:rowOff>227543</xdr:rowOff>
    </xdr:from>
    <xdr:to>
      <xdr:col>2</xdr:col>
      <xdr:colOff>573617</xdr:colOff>
      <xdr:row>12</xdr:row>
      <xdr:rowOff>191310</xdr:rowOff>
    </xdr:to>
    <xdr:pic>
      <xdr:nvPicPr>
        <xdr:cNvPr id="9" name="Picture 8">
          <a:extLst>
            <a:ext uri="{FF2B5EF4-FFF2-40B4-BE49-F238E27FC236}">
              <a16:creationId xmlns:a16="http://schemas.microsoft.com/office/drawing/2014/main" id="{275C5520-30CC-444B-8857-0CC78FDCB633}"/>
            </a:ext>
          </a:extLst>
        </xdr:cNvPr>
        <xdr:cNvPicPr>
          <a:picLocks noChangeAspect="1"/>
        </xdr:cNvPicPr>
      </xdr:nvPicPr>
      <xdr:blipFill>
        <a:blip xmlns:r="http://schemas.openxmlformats.org/officeDocument/2006/relationships" r:embed="rId8"/>
        <a:stretch>
          <a:fillRect/>
        </a:stretch>
      </xdr:blipFill>
      <xdr:spPr>
        <a:xfrm>
          <a:off x="1128184" y="2246843"/>
          <a:ext cx="550333" cy="69719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33866</xdr:colOff>
      <xdr:row>2</xdr:row>
      <xdr:rowOff>38100</xdr:rowOff>
    </xdr:from>
    <xdr:to>
      <xdr:col>17</xdr:col>
      <xdr:colOff>200026</xdr:colOff>
      <xdr:row>24</xdr:row>
      <xdr:rowOff>71288</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29991" y="419100"/>
          <a:ext cx="3823760" cy="359553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20</xdr:col>
      <xdr:colOff>84667</xdr:colOff>
      <xdr:row>9</xdr:row>
      <xdr:rowOff>142873</xdr:rowOff>
    </xdr:from>
    <xdr:to>
      <xdr:col>29</xdr:col>
      <xdr:colOff>449793</xdr:colOff>
      <xdr:row>32</xdr:row>
      <xdr:rowOff>181029</xdr:rowOff>
    </xdr:to>
    <xdr:pic>
      <xdr:nvPicPr>
        <xdr:cNvPr id="2" name="Picture 1">
          <a:extLst>
            <a:ext uri="{FF2B5EF4-FFF2-40B4-BE49-F238E27FC236}">
              <a16:creationId xmlns:a16="http://schemas.microsoft.com/office/drawing/2014/main" id="{84FB20E9-DDEE-4D3C-803A-C76EBF4B5F26}"/>
            </a:ext>
          </a:extLst>
        </xdr:cNvPr>
        <xdr:cNvPicPr>
          <a:picLocks noChangeAspect="1"/>
        </xdr:cNvPicPr>
      </xdr:nvPicPr>
      <xdr:blipFill>
        <a:blip xmlns:r="http://schemas.openxmlformats.org/officeDocument/2006/relationships" r:embed="rId1"/>
        <a:stretch>
          <a:fillRect/>
        </a:stretch>
      </xdr:blipFill>
      <xdr:spPr>
        <a:xfrm>
          <a:off x="7028392" y="1800223"/>
          <a:ext cx="5851526" cy="4438706"/>
        </a:xfrm>
        <a:prstGeom prst="rect">
          <a:avLst/>
        </a:prstGeom>
      </xdr:spPr>
    </xdr:pic>
    <xdr:clientData/>
  </xdr:twoCellAnchor>
  <xdr:twoCellAnchor>
    <xdr:from>
      <xdr:col>10</xdr:col>
      <xdr:colOff>99786</xdr:colOff>
      <xdr:row>27</xdr:row>
      <xdr:rowOff>17991</xdr:rowOff>
    </xdr:from>
    <xdr:to>
      <xdr:col>10</xdr:col>
      <xdr:colOff>307731</xdr:colOff>
      <xdr:row>27</xdr:row>
      <xdr:rowOff>198966</xdr:rowOff>
    </xdr:to>
    <xdr:sp macro="" textlink="">
      <xdr:nvSpPr>
        <xdr:cNvPr id="3" name="Arrow: Left 2">
          <a:extLst>
            <a:ext uri="{FF2B5EF4-FFF2-40B4-BE49-F238E27FC236}">
              <a16:creationId xmlns:a16="http://schemas.microsoft.com/office/drawing/2014/main" id="{33A1FB63-9A46-4868-84EC-BB42E8D5A9DA}"/>
            </a:ext>
          </a:extLst>
        </xdr:cNvPr>
        <xdr:cNvSpPr/>
      </xdr:nvSpPr>
      <xdr:spPr>
        <a:xfrm>
          <a:off x="3452586" y="4932891"/>
          <a:ext cx="207945" cy="18097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55914</xdr:colOff>
      <xdr:row>5</xdr:row>
      <xdr:rowOff>21431</xdr:rowOff>
    </xdr:from>
    <xdr:to>
      <xdr:col>3</xdr:col>
      <xdr:colOff>238974</xdr:colOff>
      <xdr:row>10</xdr:row>
      <xdr:rowOff>55247</xdr:rowOff>
    </xdr:to>
    <xdr:pic>
      <xdr:nvPicPr>
        <xdr:cNvPr id="2" name="Picture 1">
          <a:extLst>
            <a:ext uri="{FF2B5EF4-FFF2-40B4-BE49-F238E27FC236}">
              <a16:creationId xmlns:a16="http://schemas.microsoft.com/office/drawing/2014/main" id="{BC5BCFA3-F658-4DBF-82AD-F890AEF14AC0}"/>
            </a:ext>
          </a:extLst>
        </xdr:cNvPr>
        <xdr:cNvPicPr>
          <a:picLocks noChangeAspect="1"/>
        </xdr:cNvPicPr>
      </xdr:nvPicPr>
      <xdr:blipFill>
        <a:blip xmlns:r="http://schemas.openxmlformats.org/officeDocument/2006/relationships" r:embed="rId1"/>
        <a:stretch>
          <a:fillRect/>
        </a:stretch>
      </xdr:blipFill>
      <xdr:spPr>
        <a:xfrm flipH="1">
          <a:off x="2122839" y="1126331"/>
          <a:ext cx="183060" cy="1176816"/>
        </a:xfrm>
        <a:prstGeom prst="rect">
          <a:avLst/>
        </a:prstGeom>
      </xdr:spPr>
    </xdr:pic>
    <xdr:clientData/>
  </xdr:twoCellAnchor>
  <xdr:twoCellAnchor editAs="oneCell">
    <xdr:from>
      <xdr:col>3</xdr:col>
      <xdr:colOff>327421</xdr:colOff>
      <xdr:row>5</xdr:row>
      <xdr:rowOff>19561</xdr:rowOff>
    </xdr:from>
    <xdr:to>
      <xdr:col>3</xdr:col>
      <xdr:colOff>545135</xdr:colOff>
      <xdr:row>10</xdr:row>
      <xdr:rowOff>45907</xdr:rowOff>
    </xdr:to>
    <xdr:pic>
      <xdr:nvPicPr>
        <xdr:cNvPr id="3" name="Picture 2">
          <a:extLst>
            <a:ext uri="{FF2B5EF4-FFF2-40B4-BE49-F238E27FC236}">
              <a16:creationId xmlns:a16="http://schemas.microsoft.com/office/drawing/2014/main" id="{FEED0B4D-E528-4DD8-95BB-E2F8BB71D2B0}"/>
            </a:ext>
          </a:extLst>
        </xdr:cNvPr>
        <xdr:cNvPicPr>
          <a:picLocks noChangeAspect="1"/>
        </xdr:cNvPicPr>
      </xdr:nvPicPr>
      <xdr:blipFill>
        <a:blip xmlns:r="http://schemas.openxmlformats.org/officeDocument/2006/relationships" r:embed="rId2"/>
        <a:stretch>
          <a:fillRect/>
        </a:stretch>
      </xdr:blipFill>
      <xdr:spPr>
        <a:xfrm>
          <a:off x="2394346" y="1124461"/>
          <a:ext cx="217714" cy="1169346"/>
        </a:xfrm>
        <a:prstGeom prst="rect">
          <a:avLst/>
        </a:prstGeom>
      </xdr:spPr>
    </xdr:pic>
    <xdr:clientData/>
  </xdr:twoCellAnchor>
  <xdr:twoCellAnchor editAs="oneCell">
    <xdr:from>
      <xdr:col>4</xdr:col>
      <xdr:colOff>25004</xdr:colOff>
      <xdr:row>4</xdr:row>
      <xdr:rowOff>215504</xdr:rowOff>
    </xdr:from>
    <xdr:to>
      <xdr:col>4</xdr:col>
      <xdr:colOff>678491</xdr:colOff>
      <xdr:row>9</xdr:row>
      <xdr:rowOff>142875</xdr:rowOff>
    </xdr:to>
    <xdr:pic>
      <xdr:nvPicPr>
        <xdr:cNvPr id="4" name="Picture 3">
          <a:extLst>
            <a:ext uri="{FF2B5EF4-FFF2-40B4-BE49-F238E27FC236}">
              <a16:creationId xmlns:a16="http://schemas.microsoft.com/office/drawing/2014/main" id="{BEAEAF6E-38BA-4EA0-8C22-354DD6A89D66}"/>
            </a:ext>
          </a:extLst>
        </xdr:cNvPr>
        <xdr:cNvPicPr>
          <a:picLocks noChangeAspect="1"/>
        </xdr:cNvPicPr>
      </xdr:nvPicPr>
      <xdr:blipFill>
        <a:blip xmlns:r="http://schemas.openxmlformats.org/officeDocument/2006/relationships" r:embed="rId3"/>
        <a:stretch>
          <a:fillRect/>
        </a:stretch>
      </xdr:blipFill>
      <xdr:spPr>
        <a:xfrm>
          <a:off x="2806304" y="1091804"/>
          <a:ext cx="653487" cy="1070371"/>
        </a:xfrm>
        <a:prstGeom prst="rect">
          <a:avLst/>
        </a:prstGeom>
      </xdr:spPr>
    </xdr:pic>
    <xdr:clientData/>
  </xdr:twoCellAnchor>
  <xdr:twoCellAnchor editAs="oneCell">
    <xdr:from>
      <xdr:col>5</xdr:col>
      <xdr:colOff>40822</xdr:colOff>
      <xdr:row>4</xdr:row>
      <xdr:rowOff>210912</xdr:rowOff>
    </xdr:from>
    <xdr:to>
      <xdr:col>5</xdr:col>
      <xdr:colOff>666566</xdr:colOff>
      <xdr:row>9</xdr:row>
      <xdr:rowOff>153762</xdr:rowOff>
    </xdr:to>
    <xdr:pic>
      <xdr:nvPicPr>
        <xdr:cNvPr id="5" name="Picture 4">
          <a:extLst>
            <a:ext uri="{FF2B5EF4-FFF2-40B4-BE49-F238E27FC236}">
              <a16:creationId xmlns:a16="http://schemas.microsoft.com/office/drawing/2014/main" id="{83A4F580-65B7-4282-98C2-362184B15E7B}"/>
            </a:ext>
          </a:extLst>
        </xdr:cNvPr>
        <xdr:cNvPicPr>
          <a:picLocks noChangeAspect="1"/>
        </xdr:cNvPicPr>
      </xdr:nvPicPr>
      <xdr:blipFill>
        <a:blip xmlns:r="http://schemas.openxmlformats.org/officeDocument/2006/relationships" r:embed="rId4"/>
        <a:stretch>
          <a:fillRect/>
        </a:stretch>
      </xdr:blipFill>
      <xdr:spPr>
        <a:xfrm>
          <a:off x="3536497" y="1087212"/>
          <a:ext cx="625744" cy="1085850"/>
        </a:xfrm>
        <a:prstGeom prst="rect">
          <a:avLst/>
        </a:prstGeom>
      </xdr:spPr>
    </xdr:pic>
    <xdr:clientData/>
  </xdr:twoCellAnchor>
  <xdr:twoCellAnchor editAs="oneCell">
    <xdr:from>
      <xdr:col>7</xdr:col>
      <xdr:colOff>1</xdr:colOff>
      <xdr:row>5</xdr:row>
      <xdr:rowOff>5444</xdr:rowOff>
    </xdr:from>
    <xdr:to>
      <xdr:col>7</xdr:col>
      <xdr:colOff>702129</xdr:colOff>
      <xdr:row>9</xdr:row>
      <xdr:rowOff>137145</xdr:rowOff>
    </xdr:to>
    <xdr:pic>
      <xdr:nvPicPr>
        <xdr:cNvPr id="6" name="Picture 5">
          <a:extLst>
            <a:ext uri="{FF2B5EF4-FFF2-40B4-BE49-F238E27FC236}">
              <a16:creationId xmlns:a16="http://schemas.microsoft.com/office/drawing/2014/main" id="{F6C07959-EB7C-46B0-B00D-061B98AFDAB7}"/>
            </a:ext>
          </a:extLst>
        </xdr:cNvPr>
        <xdr:cNvPicPr>
          <a:picLocks noChangeAspect="1"/>
        </xdr:cNvPicPr>
      </xdr:nvPicPr>
      <xdr:blipFill>
        <a:blip xmlns:r="http://schemas.openxmlformats.org/officeDocument/2006/relationships" r:embed="rId5"/>
        <a:stretch>
          <a:fillRect/>
        </a:stretch>
      </xdr:blipFill>
      <xdr:spPr>
        <a:xfrm>
          <a:off x="4924426" y="1110344"/>
          <a:ext cx="702128" cy="1046101"/>
        </a:xfrm>
        <a:prstGeom prst="rect">
          <a:avLst/>
        </a:prstGeom>
      </xdr:spPr>
    </xdr:pic>
    <xdr:clientData/>
  </xdr:twoCellAnchor>
  <xdr:twoCellAnchor editAs="oneCell">
    <xdr:from>
      <xdr:col>9</xdr:col>
      <xdr:colOff>21772</xdr:colOff>
      <xdr:row>4</xdr:row>
      <xdr:rowOff>217715</xdr:rowOff>
    </xdr:from>
    <xdr:to>
      <xdr:col>9</xdr:col>
      <xdr:colOff>702128</xdr:colOff>
      <xdr:row>8</xdr:row>
      <xdr:rowOff>135817</xdr:rowOff>
    </xdr:to>
    <xdr:pic>
      <xdr:nvPicPr>
        <xdr:cNvPr id="7" name="Picture 6">
          <a:extLst>
            <a:ext uri="{FF2B5EF4-FFF2-40B4-BE49-F238E27FC236}">
              <a16:creationId xmlns:a16="http://schemas.microsoft.com/office/drawing/2014/main" id="{AED9E828-09EA-43B7-8773-3B0E57B966A4}"/>
            </a:ext>
          </a:extLst>
        </xdr:cNvPr>
        <xdr:cNvPicPr>
          <a:picLocks noChangeAspect="1"/>
        </xdr:cNvPicPr>
      </xdr:nvPicPr>
      <xdr:blipFill>
        <a:blip xmlns:r="http://schemas.openxmlformats.org/officeDocument/2006/relationships" r:embed="rId6"/>
        <a:stretch>
          <a:fillRect/>
        </a:stretch>
      </xdr:blipFill>
      <xdr:spPr>
        <a:xfrm>
          <a:off x="6374947" y="1094015"/>
          <a:ext cx="680356" cy="832502"/>
        </a:xfrm>
        <a:prstGeom prst="rect">
          <a:avLst/>
        </a:prstGeom>
      </xdr:spPr>
    </xdr:pic>
    <xdr:clientData/>
  </xdr:twoCellAnchor>
  <xdr:twoCellAnchor editAs="oneCell">
    <xdr:from>
      <xdr:col>10</xdr:col>
      <xdr:colOff>70757</xdr:colOff>
      <xdr:row>4</xdr:row>
      <xdr:rowOff>206829</xdr:rowOff>
    </xdr:from>
    <xdr:to>
      <xdr:col>10</xdr:col>
      <xdr:colOff>658586</xdr:colOff>
      <xdr:row>8</xdr:row>
      <xdr:rowOff>165174</xdr:rowOff>
    </xdr:to>
    <xdr:pic>
      <xdr:nvPicPr>
        <xdr:cNvPr id="8" name="Picture 7">
          <a:extLst>
            <a:ext uri="{FF2B5EF4-FFF2-40B4-BE49-F238E27FC236}">
              <a16:creationId xmlns:a16="http://schemas.microsoft.com/office/drawing/2014/main" id="{36A48A08-2D33-46E1-85E8-68FFCDEDAE66}"/>
            </a:ext>
          </a:extLst>
        </xdr:cNvPr>
        <xdr:cNvPicPr>
          <a:picLocks noChangeAspect="1"/>
        </xdr:cNvPicPr>
      </xdr:nvPicPr>
      <xdr:blipFill>
        <a:blip xmlns:r="http://schemas.openxmlformats.org/officeDocument/2006/relationships" r:embed="rId7"/>
        <a:stretch>
          <a:fillRect/>
        </a:stretch>
      </xdr:blipFill>
      <xdr:spPr>
        <a:xfrm>
          <a:off x="7138307" y="1083129"/>
          <a:ext cx="587829" cy="872745"/>
        </a:xfrm>
        <a:prstGeom prst="rect">
          <a:avLst/>
        </a:prstGeom>
      </xdr:spPr>
    </xdr:pic>
    <xdr:clientData/>
  </xdr:twoCellAnchor>
  <xdr:twoCellAnchor editAs="oneCell">
    <xdr:from>
      <xdr:col>2</xdr:col>
      <xdr:colOff>23284</xdr:colOff>
      <xdr:row>9</xdr:row>
      <xdr:rowOff>227543</xdr:rowOff>
    </xdr:from>
    <xdr:to>
      <xdr:col>2</xdr:col>
      <xdr:colOff>573617</xdr:colOff>
      <xdr:row>12</xdr:row>
      <xdr:rowOff>191310</xdr:rowOff>
    </xdr:to>
    <xdr:pic>
      <xdr:nvPicPr>
        <xdr:cNvPr id="9" name="Picture 8">
          <a:extLst>
            <a:ext uri="{FF2B5EF4-FFF2-40B4-BE49-F238E27FC236}">
              <a16:creationId xmlns:a16="http://schemas.microsoft.com/office/drawing/2014/main" id="{D5F353B4-B75F-4D63-9C1D-79D71B98162D}"/>
            </a:ext>
          </a:extLst>
        </xdr:cNvPr>
        <xdr:cNvPicPr>
          <a:picLocks noChangeAspect="1"/>
        </xdr:cNvPicPr>
      </xdr:nvPicPr>
      <xdr:blipFill>
        <a:blip xmlns:r="http://schemas.openxmlformats.org/officeDocument/2006/relationships" r:embed="rId8"/>
        <a:stretch>
          <a:fillRect/>
        </a:stretch>
      </xdr:blipFill>
      <xdr:spPr>
        <a:xfrm>
          <a:off x="1128184" y="2246843"/>
          <a:ext cx="550333" cy="6971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55914</xdr:colOff>
      <xdr:row>5</xdr:row>
      <xdr:rowOff>21431</xdr:rowOff>
    </xdr:from>
    <xdr:to>
      <xdr:col>3</xdr:col>
      <xdr:colOff>238974</xdr:colOff>
      <xdr:row>10</xdr:row>
      <xdr:rowOff>55247</xdr:rowOff>
    </xdr:to>
    <xdr:pic>
      <xdr:nvPicPr>
        <xdr:cNvPr id="2" name="Picture 1">
          <a:extLst>
            <a:ext uri="{FF2B5EF4-FFF2-40B4-BE49-F238E27FC236}">
              <a16:creationId xmlns:a16="http://schemas.microsoft.com/office/drawing/2014/main" id="{22344C5B-0BFA-4BE9-86BA-13622583CE6A}"/>
            </a:ext>
          </a:extLst>
        </xdr:cNvPr>
        <xdr:cNvPicPr>
          <a:picLocks noChangeAspect="1"/>
        </xdr:cNvPicPr>
      </xdr:nvPicPr>
      <xdr:blipFill>
        <a:blip xmlns:r="http://schemas.openxmlformats.org/officeDocument/2006/relationships" r:embed="rId1"/>
        <a:stretch>
          <a:fillRect/>
        </a:stretch>
      </xdr:blipFill>
      <xdr:spPr>
        <a:xfrm flipH="1">
          <a:off x="2122839" y="1126331"/>
          <a:ext cx="183060" cy="1176816"/>
        </a:xfrm>
        <a:prstGeom prst="rect">
          <a:avLst/>
        </a:prstGeom>
      </xdr:spPr>
    </xdr:pic>
    <xdr:clientData/>
  </xdr:twoCellAnchor>
  <xdr:twoCellAnchor editAs="oneCell">
    <xdr:from>
      <xdr:col>3</xdr:col>
      <xdr:colOff>327421</xdr:colOff>
      <xdr:row>5</xdr:row>
      <xdr:rowOff>19561</xdr:rowOff>
    </xdr:from>
    <xdr:to>
      <xdr:col>3</xdr:col>
      <xdr:colOff>545135</xdr:colOff>
      <xdr:row>10</xdr:row>
      <xdr:rowOff>45907</xdr:rowOff>
    </xdr:to>
    <xdr:pic>
      <xdr:nvPicPr>
        <xdr:cNvPr id="3" name="Picture 2">
          <a:extLst>
            <a:ext uri="{FF2B5EF4-FFF2-40B4-BE49-F238E27FC236}">
              <a16:creationId xmlns:a16="http://schemas.microsoft.com/office/drawing/2014/main" id="{FDD0AD23-8BBA-4EEA-A670-1F8212100AD2}"/>
            </a:ext>
          </a:extLst>
        </xdr:cNvPr>
        <xdr:cNvPicPr>
          <a:picLocks noChangeAspect="1"/>
        </xdr:cNvPicPr>
      </xdr:nvPicPr>
      <xdr:blipFill>
        <a:blip xmlns:r="http://schemas.openxmlformats.org/officeDocument/2006/relationships" r:embed="rId2"/>
        <a:stretch>
          <a:fillRect/>
        </a:stretch>
      </xdr:blipFill>
      <xdr:spPr>
        <a:xfrm>
          <a:off x="2394346" y="1124461"/>
          <a:ext cx="217714" cy="1169346"/>
        </a:xfrm>
        <a:prstGeom prst="rect">
          <a:avLst/>
        </a:prstGeom>
      </xdr:spPr>
    </xdr:pic>
    <xdr:clientData/>
  </xdr:twoCellAnchor>
  <xdr:twoCellAnchor editAs="oneCell">
    <xdr:from>
      <xdr:col>4</xdr:col>
      <xdr:colOff>25004</xdr:colOff>
      <xdr:row>4</xdr:row>
      <xdr:rowOff>215504</xdr:rowOff>
    </xdr:from>
    <xdr:to>
      <xdr:col>4</xdr:col>
      <xdr:colOff>678491</xdr:colOff>
      <xdr:row>9</xdr:row>
      <xdr:rowOff>142875</xdr:rowOff>
    </xdr:to>
    <xdr:pic>
      <xdr:nvPicPr>
        <xdr:cNvPr id="4" name="Picture 3">
          <a:extLst>
            <a:ext uri="{FF2B5EF4-FFF2-40B4-BE49-F238E27FC236}">
              <a16:creationId xmlns:a16="http://schemas.microsoft.com/office/drawing/2014/main" id="{7F7B4099-E729-415C-A079-5D2D30922DEF}"/>
            </a:ext>
          </a:extLst>
        </xdr:cNvPr>
        <xdr:cNvPicPr>
          <a:picLocks noChangeAspect="1"/>
        </xdr:cNvPicPr>
      </xdr:nvPicPr>
      <xdr:blipFill>
        <a:blip xmlns:r="http://schemas.openxmlformats.org/officeDocument/2006/relationships" r:embed="rId3"/>
        <a:stretch>
          <a:fillRect/>
        </a:stretch>
      </xdr:blipFill>
      <xdr:spPr>
        <a:xfrm>
          <a:off x="2806304" y="1091804"/>
          <a:ext cx="653487" cy="1070371"/>
        </a:xfrm>
        <a:prstGeom prst="rect">
          <a:avLst/>
        </a:prstGeom>
      </xdr:spPr>
    </xdr:pic>
    <xdr:clientData/>
  </xdr:twoCellAnchor>
  <xdr:twoCellAnchor editAs="oneCell">
    <xdr:from>
      <xdr:col>5</xdr:col>
      <xdr:colOff>40822</xdr:colOff>
      <xdr:row>4</xdr:row>
      <xdr:rowOff>210912</xdr:rowOff>
    </xdr:from>
    <xdr:to>
      <xdr:col>5</xdr:col>
      <xdr:colOff>666566</xdr:colOff>
      <xdr:row>9</xdr:row>
      <xdr:rowOff>153762</xdr:rowOff>
    </xdr:to>
    <xdr:pic>
      <xdr:nvPicPr>
        <xdr:cNvPr id="5" name="Picture 4">
          <a:extLst>
            <a:ext uri="{FF2B5EF4-FFF2-40B4-BE49-F238E27FC236}">
              <a16:creationId xmlns:a16="http://schemas.microsoft.com/office/drawing/2014/main" id="{321397DD-B0E0-4614-8B6D-E0E41257E2BB}"/>
            </a:ext>
          </a:extLst>
        </xdr:cNvPr>
        <xdr:cNvPicPr>
          <a:picLocks noChangeAspect="1"/>
        </xdr:cNvPicPr>
      </xdr:nvPicPr>
      <xdr:blipFill>
        <a:blip xmlns:r="http://schemas.openxmlformats.org/officeDocument/2006/relationships" r:embed="rId4"/>
        <a:stretch>
          <a:fillRect/>
        </a:stretch>
      </xdr:blipFill>
      <xdr:spPr>
        <a:xfrm>
          <a:off x="3536497" y="1087212"/>
          <a:ext cx="625744" cy="1085850"/>
        </a:xfrm>
        <a:prstGeom prst="rect">
          <a:avLst/>
        </a:prstGeom>
      </xdr:spPr>
    </xdr:pic>
    <xdr:clientData/>
  </xdr:twoCellAnchor>
  <xdr:twoCellAnchor editAs="oneCell">
    <xdr:from>
      <xdr:col>7</xdr:col>
      <xdr:colOff>1</xdr:colOff>
      <xdr:row>5</xdr:row>
      <xdr:rowOff>5444</xdr:rowOff>
    </xdr:from>
    <xdr:to>
      <xdr:col>7</xdr:col>
      <xdr:colOff>702129</xdr:colOff>
      <xdr:row>9</xdr:row>
      <xdr:rowOff>137145</xdr:rowOff>
    </xdr:to>
    <xdr:pic>
      <xdr:nvPicPr>
        <xdr:cNvPr id="6" name="Picture 5">
          <a:extLst>
            <a:ext uri="{FF2B5EF4-FFF2-40B4-BE49-F238E27FC236}">
              <a16:creationId xmlns:a16="http://schemas.microsoft.com/office/drawing/2014/main" id="{58AF5198-5BBA-4B05-A6A1-6355D6EA44D0}"/>
            </a:ext>
          </a:extLst>
        </xdr:cNvPr>
        <xdr:cNvPicPr>
          <a:picLocks noChangeAspect="1"/>
        </xdr:cNvPicPr>
      </xdr:nvPicPr>
      <xdr:blipFill>
        <a:blip xmlns:r="http://schemas.openxmlformats.org/officeDocument/2006/relationships" r:embed="rId5"/>
        <a:stretch>
          <a:fillRect/>
        </a:stretch>
      </xdr:blipFill>
      <xdr:spPr>
        <a:xfrm>
          <a:off x="4924426" y="1110344"/>
          <a:ext cx="702128" cy="1046101"/>
        </a:xfrm>
        <a:prstGeom prst="rect">
          <a:avLst/>
        </a:prstGeom>
      </xdr:spPr>
    </xdr:pic>
    <xdr:clientData/>
  </xdr:twoCellAnchor>
  <xdr:twoCellAnchor editAs="oneCell">
    <xdr:from>
      <xdr:col>9</xdr:col>
      <xdr:colOff>21772</xdr:colOff>
      <xdr:row>4</xdr:row>
      <xdr:rowOff>217715</xdr:rowOff>
    </xdr:from>
    <xdr:to>
      <xdr:col>9</xdr:col>
      <xdr:colOff>702128</xdr:colOff>
      <xdr:row>8</xdr:row>
      <xdr:rowOff>135817</xdr:rowOff>
    </xdr:to>
    <xdr:pic>
      <xdr:nvPicPr>
        <xdr:cNvPr id="7" name="Picture 6">
          <a:extLst>
            <a:ext uri="{FF2B5EF4-FFF2-40B4-BE49-F238E27FC236}">
              <a16:creationId xmlns:a16="http://schemas.microsoft.com/office/drawing/2014/main" id="{1EE89751-6084-4B42-8EA8-6C59984F6729}"/>
            </a:ext>
          </a:extLst>
        </xdr:cNvPr>
        <xdr:cNvPicPr>
          <a:picLocks noChangeAspect="1"/>
        </xdr:cNvPicPr>
      </xdr:nvPicPr>
      <xdr:blipFill>
        <a:blip xmlns:r="http://schemas.openxmlformats.org/officeDocument/2006/relationships" r:embed="rId6"/>
        <a:stretch>
          <a:fillRect/>
        </a:stretch>
      </xdr:blipFill>
      <xdr:spPr>
        <a:xfrm>
          <a:off x="6374947" y="1094015"/>
          <a:ext cx="680356" cy="832502"/>
        </a:xfrm>
        <a:prstGeom prst="rect">
          <a:avLst/>
        </a:prstGeom>
      </xdr:spPr>
    </xdr:pic>
    <xdr:clientData/>
  </xdr:twoCellAnchor>
  <xdr:twoCellAnchor editAs="oneCell">
    <xdr:from>
      <xdr:col>10</xdr:col>
      <xdr:colOff>70757</xdr:colOff>
      <xdr:row>4</xdr:row>
      <xdr:rowOff>206829</xdr:rowOff>
    </xdr:from>
    <xdr:to>
      <xdr:col>10</xdr:col>
      <xdr:colOff>658586</xdr:colOff>
      <xdr:row>8</xdr:row>
      <xdr:rowOff>165174</xdr:rowOff>
    </xdr:to>
    <xdr:pic>
      <xdr:nvPicPr>
        <xdr:cNvPr id="8" name="Picture 7">
          <a:extLst>
            <a:ext uri="{FF2B5EF4-FFF2-40B4-BE49-F238E27FC236}">
              <a16:creationId xmlns:a16="http://schemas.microsoft.com/office/drawing/2014/main" id="{8C506BFE-5D08-4B0D-BFA9-4EE86A6C8743}"/>
            </a:ext>
          </a:extLst>
        </xdr:cNvPr>
        <xdr:cNvPicPr>
          <a:picLocks noChangeAspect="1"/>
        </xdr:cNvPicPr>
      </xdr:nvPicPr>
      <xdr:blipFill>
        <a:blip xmlns:r="http://schemas.openxmlformats.org/officeDocument/2006/relationships" r:embed="rId7"/>
        <a:stretch>
          <a:fillRect/>
        </a:stretch>
      </xdr:blipFill>
      <xdr:spPr>
        <a:xfrm>
          <a:off x="7138307" y="1083129"/>
          <a:ext cx="587829" cy="872745"/>
        </a:xfrm>
        <a:prstGeom prst="rect">
          <a:avLst/>
        </a:prstGeom>
      </xdr:spPr>
    </xdr:pic>
    <xdr:clientData/>
  </xdr:twoCellAnchor>
  <xdr:twoCellAnchor editAs="oneCell">
    <xdr:from>
      <xdr:col>2</xdr:col>
      <xdr:colOff>23284</xdr:colOff>
      <xdr:row>9</xdr:row>
      <xdr:rowOff>227543</xdr:rowOff>
    </xdr:from>
    <xdr:to>
      <xdr:col>2</xdr:col>
      <xdr:colOff>573617</xdr:colOff>
      <xdr:row>12</xdr:row>
      <xdr:rowOff>191310</xdr:rowOff>
    </xdr:to>
    <xdr:pic>
      <xdr:nvPicPr>
        <xdr:cNvPr id="9" name="Picture 8">
          <a:extLst>
            <a:ext uri="{FF2B5EF4-FFF2-40B4-BE49-F238E27FC236}">
              <a16:creationId xmlns:a16="http://schemas.microsoft.com/office/drawing/2014/main" id="{7896B43D-9A8F-4CAA-8AFC-DAB04564D562}"/>
            </a:ext>
          </a:extLst>
        </xdr:cNvPr>
        <xdr:cNvPicPr>
          <a:picLocks noChangeAspect="1"/>
        </xdr:cNvPicPr>
      </xdr:nvPicPr>
      <xdr:blipFill>
        <a:blip xmlns:r="http://schemas.openxmlformats.org/officeDocument/2006/relationships" r:embed="rId8"/>
        <a:stretch>
          <a:fillRect/>
        </a:stretch>
      </xdr:blipFill>
      <xdr:spPr>
        <a:xfrm>
          <a:off x="1128184" y="2246843"/>
          <a:ext cx="550333" cy="6971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238125</xdr:colOff>
      <xdr:row>1</xdr:row>
      <xdr:rowOff>57150</xdr:rowOff>
    </xdr:from>
    <xdr:to>
      <xdr:col>18</xdr:col>
      <xdr:colOff>324201</xdr:colOff>
      <xdr:row>26</xdr:row>
      <xdr:rowOff>219895</xdr:rowOff>
    </xdr:to>
    <xdr:pic>
      <xdr:nvPicPr>
        <xdr:cNvPr id="2" name="Picture 1">
          <a:extLst>
            <a:ext uri="{FF2B5EF4-FFF2-40B4-BE49-F238E27FC236}">
              <a16:creationId xmlns:a16="http://schemas.microsoft.com/office/drawing/2014/main" id="{559B96FF-0D90-424B-B694-5C7DAC540ED5}"/>
            </a:ext>
          </a:extLst>
        </xdr:cNvPr>
        <xdr:cNvPicPr>
          <a:picLocks noChangeAspect="1"/>
        </xdr:cNvPicPr>
      </xdr:nvPicPr>
      <xdr:blipFill>
        <a:blip xmlns:r="http://schemas.openxmlformats.org/officeDocument/2006/relationships" r:embed="rId1"/>
        <a:stretch>
          <a:fillRect/>
        </a:stretch>
      </xdr:blipFill>
      <xdr:spPr>
        <a:xfrm>
          <a:off x="8172450" y="285750"/>
          <a:ext cx="2524476" cy="58777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171450</xdr:colOff>
      <xdr:row>1</xdr:row>
      <xdr:rowOff>9525</xdr:rowOff>
    </xdr:from>
    <xdr:to>
      <xdr:col>18</xdr:col>
      <xdr:colOff>495300</xdr:colOff>
      <xdr:row>23</xdr:row>
      <xdr:rowOff>184309</xdr:rowOff>
    </xdr:to>
    <xdr:pic>
      <xdr:nvPicPr>
        <xdr:cNvPr id="2" name="Picture 1">
          <a:extLst>
            <a:ext uri="{FF2B5EF4-FFF2-40B4-BE49-F238E27FC236}">
              <a16:creationId xmlns:a16="http://schemas.microsoft.com/office/drawing/2014/main" id="{E46608A2-3219-4988-8266-8482716B0FC2}"/>
            </a:ext>
          </a:extLst>
        </xdr:cNvPr>
        <xdr:cNvPicPr>
          <a:picLocks noChangeAspect="1"/>
        </xdr:cNvPicPr>
      </xdr:nvPicPr>
      <xdr:blipFill>
        <a:blip xmlns:r="http://schemas.openxmlformats.org/officeDocument/2006/relationships" r:embed="rId1"/>
        <a:stretch>
          <a:fillRect/>
        </a:stretch>
      </xdr:blipFill>
      <xdr:spPr>
        <a:xfrm>
          <a:off x="8686800" y="238125"/>
          <a:ext cx="2124075" cy="52039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264583</xdr:colOff>
      <xdr:row>2</xdr:row>
      <xdr:rowOff>158750</xdr:rowOff>
    </xdr:from>
    <xdr:to>
      <xdr:col>17</xdr:col>
      <xdr:colOff>537928</xdr:colOff>
      <xdr:row>31</xdr:row>
      <xdr:rowOff>16626</xdr:rowOff>
    </xdr:to>
    <xdr:pic>
      <xdr:nvPicPr>
        <xdr:cNvPr id="2" name="Picture 1">
          <a:extLst>
            <a:ext uri="{FF2B5EF4-FFF2-40B4-BE49-F238E27FC236}">
              <a16:creationId xmlns:a16="http://schemas.microsoft.com/office/drawing/2014/main" id="{9A535AA9-2518-4B01-A94D-3BA8E72703A8}"/>
            </a:ext>
          </a:extLst>
        </xdr:cNvPr>
        <xdr:cNvPicPr>
          <a:picLocks noChangeAspect="1"/>
        </xdr:cNvPicPr>
      </xdr:nvPicPr>
      <xdr:blipFill>
        <a:blip xmlns:r="http://schemas.openxmlformats.org/officeDocument/2006/relationships" r:embed="rId1"/>
        <a:stretch>
          <a:fillRect/>
        </a:stretch>
      </xdr:blipFill>
      <xdr:spPr>
        <a:xfrm>
          <a:off x="8570383" y="606425"/>
          <a:ext cx="2102145" cy="53823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209550</xdr:colOff>
      <xdr:row>6</xdr:row>
      <xdr:rowOff>38101</xdr:rowOff>
    </xdr:from>
    <xdr:to>
      <xdr:col>3</xdr:col>
      <xdr:colOff>512457</xdr:colOff>
      <xdr:row>9</xdr:row>
      <xdr:rowOff>114301</xdr:rowOff>
    </xdr:to>
    <xdr:pic>
      <xdr:nvPicPr>
        <xdr:cNvPr id="2" name="Picture 1">
          <a:extLst>
            <a:ext uri="{FF2B5EF4-FFF2-40B4-BE49-F238E27FC236}">
              <a16:creationId xmlns:a16="http://schemas.microsoft.com/office/drawing/2014/main" id="{FABAA8B2-2EDC-4E74-8F54-5BBDF13E4971}"/>
            </a:ext>
          </a:extLst>
        </xdr:cNvPr>
        <xdr:cNvPicPr>
          <a:picLocks noChangeAspect="1"/>
        </xdr:cNvPicPr>
      </xdr:nvPicPr>
      <xdr:blipFill>
        <a:blip xmlns:r="http://schemas.openxmlformats.org/officeDocument/2006/relationships" r:embed="rId1"/>
        <a:stretch>
          <a:fillRect/>
        </a:stretch>
      </xdr:blipFill>
      <xdr:spPr>
        <a:xfrm>
          <a:off x="1724025" y="1409701"/>
          <a:ext cx="302907" cy="762000"/>
        </a:xfrm>
        <a:prstGeom prst="rect">
          <a:avLst/>
        </a:prstGeom>
      </xdr:spPr>
    </xdr:pic>
    <xdr:clientData/>
  </xdr:twoCellAnchor>
  <xdr:twoCellAnchor editAs="oneCell">
    <xdr:from>
      <xdr:col>4</xdr:col>
      <xdr:colOff>66676</xdr:colOff>
      <xdr:row>6</xdr:row>
      <xdr:rowOff>57150</xdr:rowOff>
    </xdr:from>
    <xdr:to>
      <xdr:col>4</xdr:col>
      <xdr:colOff>626674</xdr:colOff>
      <xdr:row>9</xdr:row>
      <xdr:rowOff>95250</xdr:rowOff>
    </xdr:to>
    <xdr:pic>
      <xdr:nvPicPr>
        <xdr:cNvPr id="3" name="Picture 2">
          <a:extLst>
            <a:ext uri="{FF2B5EF4-FFF2-40B4-BE49-F238E27FC236}">
              <a16:creationId xmlns:a16="http://schemas.microsoft.com/office/drawing/2014/main" id="{AC8885EC-7050-4CDE-804A-2FF0B374F7CA}"/>
            </a:ext>
          </a:extLst>
        </xdr:cNvPr>
        <xdr:cNvPicPr>
          <a:picLocks noChangeAspect="1"/>
        </xdr:cNvPicPr>
      </xdr:nvPicPr>
      <xdr:blipFill>
        <a:blip xmlns:r="http://schemas.openxmlformats.org/officeDocument/2006/relationships" r:embed="rId2"/>
        <a:stretch>
          <a:fillRect/>
        </a:stretch>
      </xdr:blipFill>
      <xdr:spPr>
        <a:xfrm>
          <a:off x="2266951" y="1428750"/>
          <a:ext cx="559998" cy="723900"/>
        </a:xfrm>
        <a:prstGeom prst="rect">
          <a:avLst/>
        </a:prstGeom>
      </xdr:spPr>
    </xdr:pic>
    <xdr:clientData/>
  </xdr:twoCellAnchor>
  <xdr:twoCellAnchor editAs="oneCell">
    <xdr:from>
      <xdr:col>5</xdr:col>
      <xdr:colOff>57150</xdr:colOff>
      <xdr:row>6</xdr:row>
      <xdr:rowOff>76200</xdr:rowOff>
    </xdr:from>
    <xdr:to>
      <xdr:col>5</xdr:col>
      <xdr:colOff>590550</xdr:colOff>
      <xdr:row>9</xdr:row>
      <xdr:rowOff>104539</xdr:rowOff>
    </xdr:to>
    <xdr:pic>
      <xdr:nvPicPr>
        <xdr:cNvPr id="4" name="Picture 3">
          <a:extLst>
            <a:ext uri="{FF2B5EF4-FFF2-40B4-BE49-F238E27FC236}">
              <a16:creationId xmlns:a16="http://schemas.microsoft.com/office/drawing/2014/main" id="{89883186-180D-41F2-A43C-E3018D469021}"/>
            </a:ext>
          </a:extLst>
        </xdr:cNvPr>
        <xdr:cNvPicPr>
          <a:picLocks noChangeAspect="1"/>
        </xdr:cNvPicPr>
      </xdr:nvPicPr>
      <xdr:blipFill>
        <a:blip xmlns:r="http://schemas.openxmlformats.org/officeDocument/2006/relationships" r:embed="rId3"/>
        <a:stretch>
          <a:fillRect/>
        </a:stretch>
      </xdr:blipFill>
      <xdr:spPr>
        <a:xfrm>
          <a:off x="2943225" y="1447800"/>
          <a:ext cx="533400" cy="714139"/>
        </a:xfrm>
        <a:prstGeom prst="rect">
          <a:avLst/>
        </a:prstGeom>
      </xdr:spPr>
    </xdr:pic>
    <xdr:clientData/>
  </xdr:twoCellAnchor>
  <xdr:twoCellAnchor editAs="oneCell">
    <xdr:from>
      <xdr:col>6</xdr:col>
      <xdr:colOff>400049</xdr:colOff>
      <xdr:row>6</xdr:row>
      <xdr:rowOff>114300</xdr:rowOff>
    </xdr:from>
    <xdr:to>
      <xdr:col>8</xdr:col>
      <xdr:colOff>199158</xdr:colOff>
      <xdr:row>9</xdr:row>
      <xdr:rowOff>38100</xdr:rowOff>
    </xdr:to>
    <xdr:pic>
      <xdr:nvPicPr>
        <xdr:cNvPr id="5" name="Picture 4">
          <a:extLst>
            <a:ext uri="{FF2B5EF4-FFF2-40B4-BE49-F238E27FC236}">
              <a16:creationId xmlns:a16="http://schemas.microsoft.com/office/drawing/2014/main" id="{C2C66F03-BAD7-4FE0-8707-B7285AC5C996}"/>
            </a:ext>
          </a:extLst>
        </xdr:cNvPr>
        <xdr:cNvPicPr>
          <a:picLocks noChangeAspect="1"/>
        </xdr:cNvPicPr>
      </xdr:nvPicPr>
      <xdr:blipFill>
        <a:blip xmlns:r="http://schemas.openxmlformats.org/officeDocument/2006/relationships" r:embed="rId4"/>
        <a:stretch>
          <a:fillRect/>
        </a:stretch>
      </xdr:blipFill>
      <xdr:spPr>
        <a:xfrm>
          <a:off x="3971924" y="1485900"/>
          <a:ext cx="1170709" cy="609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66676</xdr:colOff>
      <xdr:row>4</xdr:row>
      <xdr:rowOff>66676</xdr:rowOff>
    </xdr:from>
    <xdr:to>
      <xdr:col>3</xdr:col>
      <xdr:colOff>574736</xdr:colOff>
      <xdr:row>8</xdr:row>
      <xdr:rowOff>66676</xdr:rowOff>
    </xdr:to>
    <xdr:pic>
      <xdr:nvPicPr>
        <xdr:cNvPr id="2" name="Picture 1">
          <a:extLst>
            <a:ext uri="{FF2B5EF4-FFF2-40B4-BE49-F238E27FC236}">
              <a16:creationId xmlns:a16="http://schemas.microsoft.com/office/drawing/2014/main" id="{1033848A-9EF7-4324-BC76-097BC6B3A1F8}"/>
            </a:ext>
          </a:extLst>
        </xdr:cNvPr>
        <xdr:cNvPicPr>
          <a:picLocks noChangeAspect="1"/>
        </xdr:cNvPicPr>
      </xdr:nvPicPr>
      <xdr:blipFill>
        <a:blip xmlns:r="http://schemas.openxmlformats.org/officeDocument/2006/relationships" r:embed="rId1"/>
        <a:stretch>
          <a:fillRect/>
        </a:stretch>
      </xdr:blipFill>
      <xdr:spPr>
        <a:xfrm>
          <a:off x="1933576" y="981076"/>
          <a:ext cx="508060" cy="914400"/>
        </a:xfrm>
        <a:prstGeom prst="rect">
          <a:avLst/>
        </a:prstGeom>
      </xdr:spPr>
    </xdr:pic>
    <xdr:clientData/>
  </xdr:twoCellAnchor>
  <xdr:twoCellAnchor editAs="oneCell">
    <xdr:from>
      <xdr:col>4</xdr:col>
      <xdr:colOff>38101</xdr:colOff>
      <xdr:row>4</xdr:row>
      <xdr:rowOff>57150</xdr:rowOff>
    </xdr:from>
    <xdr:to>
      <xdr:col>4</xdr:col>
      <xdr:colOff>583651</xdr:colOff>
      <xdr:row>8</xdr:row>
      <xdr:rowOff>76200</xdr:rowOff>
    </xdr:to>
    <xdr:pic>
      <xdr:nvPicPr>
        <xdr:cNvPr id="3" name="Picture 2">
          <a:extLst>
            <a:ext uri="{FF2B5EF4-FFF2-40B4-BE49-F238E27FC236}">
              <a16:creationId xmlns:a16="http://schemas.microsoft.com/office/drawing/2014/main" id="{38186C20-5542-4188-8468-B4FCA3887814}"/>
            </a:ext>
          </a:extLst>
        </xdr:cNvPr>
        <xdr:cNvPicPr>
          <a:picLocks noChangeAspect="1"/>
        </xdr:cNvPicPr>
      </xdr:nvPicPr>
      <xdr:blipFill>
        <a:blip xmlns:r="http://schemas.openxmlformats.org/officeDocument/2006/relationships" r:embed="rId2"/>
        <a:stretch>
          <a:fillRect/>
        </a:stretch>
      </xdr:blipFill>
      <xdr:spPr>
        <a:xfrm>
          <a:off x="2590801" y="971550"/>
          <a:ext cx="545550" cy="933450"/>
        </a:xfrm>
        <a:prstGeom prst="rect">
          <a:avLst/>
        </a:prstGeom>
      </xdr:spPr>
    </xdr:pic>
    <xdr:clientData/>
  </xdr:twoCellAnchor>
  <xdr:twoCellAnchor editAs="oneCell">
    <xdr:from>
      <xdr:col>5</xdr:col>
      <xdr:colOff>47625</xdr:colOff>
      <xdr:row>4</xdr:row>
      <xdr:rowOff>38100</xdr:rowOff>
    </xdr:from>
    <xdr:to>
      <xdr:col>5</xdr:col>
      <xdr:colOff>600074</xdr:colOff>
      <xdr:row>8</xdr:row>
      <xdr:rowOff>66113</xdr:rowOff>
    </xdr:to>
    <xdr:pic>
      <xdr:nvPicPr>
        <xdr:cNvPr id="4" name="Picture 3">
          <a:extLst>
            <a:ext uri="{FF2B5EF4-FFF2-40B4-BE49-F238E27FC236}">
              <a16:creationId xmlns:a16="http://schemas.microsoft.com/office/drawing/2014/main" id="{50502F98-62DD-4908-A830-DF7BDC76663F}"/>
            </a:ext>
          </a:extLst>
        </xdr:cNvPr>
        <xdr:cNvPicPr>
          <a:picLocks noChangeAspect="1"/>
        </xdr:cNvPicPr>
      </xdr:nvPicPr>
      <xdr:blipFill>
        <a:blip xmlns:r="http://schemas.openxmlformats.org/officeDocument/2006/relationships" r:embed="rId3"/>
        <a:stretch>
          <a:fillRect/>
        </a:stretch>
      </xdr:blipFill>
      <xdr:spPr>
        <a:xfrm>
          <a:off x="3286125" y="952500"/>
          <a:ext cx="552449" cy="942413"/>
        </a:xfrm>
        <a:prstGeom prst="rect">
          <a:avLst/>
        </a:prstGeom>
      </xdr:spPr>
    </xdr:pic>
    <xdr:clientData/>
  </xdr:twoCellAnchor>
  <xdr:twoCellAnchor editAs="oneCell">
    <xdr:from>
      <xdr:col>6</xdr:col>
      <xdr:colOff>361951</xdr:colOff>
      <xdr:row>4</xdr:row>
      <xdr:rowOff>19050</xdr:rowOff>
    </xdr:from>
    <xdr:to>
      <xdr:col>7</xdr:col>
      <xdr:colOff>161925</xdr:colOff>
      <xdr:row>8</xdr:row>
      <xdr:rowOff>93393</xdr:rowOff>
    </xdr:to>
    <xdr:pic>
      <xdr:nvPicPr>
        <xdr:cNvPr id="5" name="Picture 4">
          <a:extLst>
            <a:ext uri="{FF2B5EF4-FFF2-40B4-BE49-F238E27FC236}">
              <a16:creationId xmlns:a16="http://schemas.microsoft.com/office/drawing/2014/main" id="{0C11573D-E8E8-4871-A20B-BDAB4A612ADB}"/>
            </a:ext>
          </a:extLst>
        </xdr:cNvPr>
        <xdr:cNvPicPr>
          <a:picLocks noChangeAspect="1"/>
        </xdr:cNvPicPr>
      </xdr:nvPicPr>
      <xdr:blipFill>
        <a:blip xmlns:r="http://schemas.openxmlformats.org/officeDocument/2006/relationships" r:embed="rId4"/>
        <a:stretch>
          <a:fillRect/>
        </a:stretch>
      </xdr:blipFill>
      <xdr:spPr>
        <a:xfrm>
          <a:off x="4286251" y="933450"/>
          <a:ext cx="485774" cy="988743"/>
        </a:xfrm>
        <a:prstGeom prst="rect">
          <a:avLst/>
        </a:prstGeom>
      </xdr:spPr>
    </xdr:pic>
    <xdr:clientData/>
  </xdr:twoCellAnchor>
  <xdr:twoCellAnchor editAs="oneCell">
    <xdr:from>
      <xdr:col>8</xdr:col>
      <xdr:colOff>295275</xdr:colOff>
      <xdr:row>4</xdr:row>
      <xdr:rowOff>28575</xdr:rowOff>
    </xdr:from>
    <xdr:to>
      <xdr:col>9</xdr:col>
      <xdr:colOff>280676</xdr:colOff>
      <xdr:row>8</xdr:row>
      <xdr:rowOff>57150</xdr:rowOff>
    </xdr:to>
    <xdr:pic>
      <xdr:nvPicPr>
        <xdr:cNvPr id="6" name="Picture 5">
          <a:extLst>
            <a:ext uri="{FF2B5EF4-FFF2-40B4-BE49-F238E27FC236}">
              <a16:creationId xmlns:a16="http://schemas.microsoft.com/office/drawing/2014/main" id="{B2691DE6-19BF-4A81-896C-C951C059ABE9}"/>
            </a:ext>
          </a:extLst>
        </xdr:cNvPr>
        <xdr:cNvPicPr>
          <a:picLocks noChangeAspect="1"/>
        </xdr:cNvPicPr>
      </xdr:nvPicPr>
      <xdr:blipFill>
        <a:blip xmlns:r="http://schemas.openxmlformats.org/officeDocument/2006/relationships" r:embed="rId5"/>
        <a:stretch>
          <a:fillRect/>
        </a:stretch>
      </xdr:blipFill>
      <xdr:spPr>
        <a:xfrm>
          <a:off x="5591175" y="942975"/>
          <a:ext cx="671201" cy="942975"/>
        </a:xfrm>
        <a:prstGeom prst="rect">
          <a:avLst/>
        </a:prstGeom>
      </xdr:spPr>
    </xdr:pic>
    <xdr:clientData/>
  </xdr:twoCellAnchor>
  <xdr:twoCellAnchor editAs="oneCell">
    <xdr:from>
      <xdr:col>10</xdr:col>
      <xdr:colOff>466726</xdr:colOff>
      <xdr:row>4</xdr:row>
      <xdr:rowOff>28575</xdr:rowOff>
    </xdr:from>
    <xdr:to>
      <xdr:col>11</xdr:col>
      <xdr:colOff>581026</xdr:colOff>
      <xdr:row>8</xdr:row>
      <xdr:rowOff>44726</xdr:rowOff>
    </xdr:to>
    <xdr:pic>
      <xdr:nvPicPr>
        <xdr:cNvPr id="7" name="Picture 6">
          <a:extLst>
            <a:ext uri="{FF2B5EF4-FFF2-40B4-BE49-F238E27FC236}">
              <a16:creationId xmlns:a16="http://schemas.microsoft.com/office/drawing/2014/main" id="{9E1C71DA-9EDB-49C1-950A-ED2C5D3A5A75}"/>
            </a:ext>
          </a:extLst>
        </xdr:cNvPr>
        <xdr:cNvPicPr>
          <a:picLocks noChangeAspect="1"/>
        </xdr:cNvPicPr>
      </xdr:nvPicPr>
      <xdr:blipFill>
        <a:blip xmlns:r="http://schemas.openxmlformats.org/officeDocument/2006/relationships" r:embed="rId6"/>
        <a:stretch>
          <a:fillRect/>
        </a:stretch>
      </xdr:blipFill>
      <xdr:spPr>
        <a:xfrm>
          <a:off x="7134226" y="942975"/>
          <a:ext cx="800100" cy="930551"/>
        </a:xfrm>
        <a:prstGeom prst="rect">
          <a:avLst/>
        </a:prstGeom>
      </xdr:spPr>
    </xdr:pic>
    <xdr:clientData/>
  </xdr:twoCellAnchor>
  <xdr:twoCellAnchor editAs="oneCell">
    <xdr:from>
      <xdr:col>13</xdr:col>
      <xdr:colOff>19050</xdr:colOff>
      <xdr:row>4</xdr:row>
      <xdr:rowOff>28576</xdr:rowOff>
    </xdr:from>
    <xdr:to>
      <xdr:col>13</xdr:col>
      <xdr:colOff>561975</xdr:colOff>
      <xdr:row>8</xdr:row>
      <xdr:rowOff>138174</xdr:rowOff>
    </xdr:to>
    <xdr:pic>
      <xdr:nvPicPr>
        <xdr:cNvPr id="8" name="Picture 7">
          <a:extLst>
            <a:ext uri="{FF2B5EF4-FFF2-40B4-BE49-F238E27FC236}">
              <a16:creationId xmlns:a16="http://schemas.microsoft.com/office/drawing/2014/main" id="{C3FD929F-72DC-47C6-8065-B4373499A528}"/>
            </a:ext>
          </a:extLst>
        </xdr:cNvPr>
        <xdr:cNvPicPr>
          <a:picLocks noChangeAspect="1"/>
        </xdr:cNvPicPr>
      </xdr:nvPicPr>
      <xdr:blipFill>
        <a:blip xmlns:r="http://schemas.openxmlformats.org/officeDocument/2006/relationships" r:embed="rId7"/>
        <a:stretch>
          <a:fillRect/>
        </a:stretch>
      </xdr:blipFill>
      <xdr:spPr>
        <a:xfrm>
          <a:off x="8743950" y="942976"/>
          <a:ext cx="542925" cy="1023998"/>
        </a:xfrm>
        <a:prstGeom prst="rect">
          <a:avLst/>
        </a:prstGeom>
      </xdr:spPr>
    </xdr:pic>
    <xdr:clientData/>
  </xdr:twoCellAnchor>
  <xdr:twoCellAnchor editAs="oneCell">
    <xdr:from>
      <xdr:col>14</xdr:col>
      <xdr:colOff>38100</xdr:colOff>
      <xdr:row>4</xdr:row>
      <xdr:rowOff>133350</xdr:rowOff>
    </xdr:from>
    <xdr:to>
      <xdr:col>14</xdr:col>
      <xdr:colOff>576862</xdr:colOff>
      <xdr:row>8</xdr:row>
      <xdr:rowOff>9525</xdr:rowOff>
    </xdr:to>
    <xdr:pic>
      <xdr:nvPicPr>
        <xdr:cNvPr id="9" name="Picture 8">
          <a:extLst>
            <a:ext uri="{FF2B5EF4-FFF2-40B4-BE49-F238E27FC236}">
              <a16:creationId xmlns:a16="http://schemas.microsoft.com/office/drawing/2014/main" id="{84BFF1C8-B011-4AEF-B970-F73EEA83720C}"/>
            </a:ext>
          </a:extLst>
        </xdr:cNvPr>
        <xdr:cNvPicPr>
          <a:picLocks noChangeAspect="1"/>
        </xdr:cNvPicPr>
      </xdr:nvPicPr>
      <xdr:blipFill>
        <a:blip xmlns:r="http://schemas.openxmlformats.org/officeDocument/2006/relationships" r:embed="rId8"/>
        <a:stretch>
          <a:fillRect/>
        </a:stretch>
      </xdr:blipFill>
      <xdr:spPr>
        <a:xfrm>
          <a:off x="9448800" y="1047750"/>
          <a:ext cx="538762" cy="7905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15"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B02C7FF-A662-4177-AE86-F36DF824366D}">
  <we:reference id="wa200009152" version="1.0.0.4" store="en-US" storeType="OMEX"/>
  <we:alternateReferences>
    <we:reference id="WA200009152" version="1.0.0.4"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7" Type="http://schemas.openxmlformats.org/officeDocument/2006/relationships/image" Target="../media/image25.emf"/><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rptraining.com.au/" TargetMode="External"/><Relationship Id="rId1" Type="http://schemas.openxmlformats.org/officeDocument/2006/relationships/hyperlink" Target="mailto:prime@westnet.com.au"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6BE08-C772-497A-A796-2877281D79FA}">
  <sheetPr codeName="Sheet1">
    <pageSetUpPr fitToPage="1"/>
  </sheetPr>
  <dimension ref="A2:I23"/>
  <sheetViews>
    <sheetView showGridLines="0" showRowColHeaders="0" tabSelected="1" workbookViewId="0">
      <selection activeCell="B4" sqref="B4"/>
    </sheetView>
  </sheetViews>
  <sheetFormatPr defaultRowHeight="15"/>
  <cols>
    <col min="1" max="1" width="9.140625" style="58"/>
    <col min="2" max="2" width="18.7109375" style="58" customWidth="1"/>
    <col min="3" max="3" width="9.140625" style="58" customWidth="1"/>
    <col min="4" max="4" width="20.7109375" style="58" customWidth="1"/>
    <col min="5" max="5" width="9.140625" style="58"/>
    <col min="6" max="6" width="17.28515625" style="58" bestFit="1" customWidth="1"/>
    <col min="7" max="16384" width="9.140625" style="58"/>
  </cols>
  <sheetData>
    <row r="2" spans="1:9" ht="18.75">
      <c r="B2" s="59" t="s">
        <v>808</v>
      </c>
    </row>
    <row r="4" spans="1:9" s="61" customFormat="1" ht="24" customHeight="1">
      <c r="A4" s="60">
        <v>1</v>
      </c>
      <c r="B4" s="38" t="s">
        <v>621</v>
      </c>
      <c r="C4" s="60">
        <v>13</v>
      </c>
      <c r="D4" s="38" t="s">
        <v>622</v>
      </c>
      <c r="E4" s="60">
        <v>27</v>
      </c>
      <c r="F4" s="38" t="s">
        <v>628</v>
      </c>
      <c r="H4" s="62"/>
      <c r="I4" s="61" t="s">
        <v>667</v>
      </c>
    </row>
    <row r="5" spans="1:9" s="61" customFormat="1" ht="24" customHeight="1">
      <c r="A5" s="60">
        <v>2</v>
      </c>
      <c r="B5" s="38" t="s">
        <v>297</v>
      </c>
      <c r="C5" s="60">
        <v>14</v>
      </c>
      <c r="D5" s="38" t="s">
        <v>631</v>
      </c>
      <c r="E5" s="60">
        <v>28</v>
      </c>
      <c r="F5" s="38" t="s">
        <v>422</v>
      </c>
    </row>
    <row r="6" spans="1:9" s="61" customFormat="1" ht="24" customHeight="1">
      <c r="A6" s="60">
        <v>3</v>
      </c>
      <c r="B6" s="38" t="s">
        <v>682</v>
      </c>
      <c r="C6" s="60">
        <v>15</v>
      </c>
      <c r="D6" s="38" t="s">
        <v>797</v>
      </c>
      <c r="E6" s="60">
        <v>29</v>
      </c>
      <c r="F6" s="38" t="s">
        <v>423</v>
      </c>
      <c r="H6" s="63"/>
      <c r="I6" s="61" t="s">
        <v>668</v>
      </c>
    </row>
    <row r="7" spans="1:9" s="61" customFormat="1" ht="24" customHeight="1">
      <c r="A7" s="60">
        <v>4</v>
      </c>
      <c r="B7" s="38" t="s">
        <v>683</v>
      </c>
      <c r="C7" s="60">
        <v>16</v>
      </c>
      <c r="D7" s="38" t="s">
        <v>798</v>
      </c>
      <c r="E7" s="60">
        <v>30</v>
      </c>
      <c r="F7" s="38" t="s">
        <v>424</v>
      </c>
    </row>
    <row r="8" spans="1:9" s="61" customFormat="1" ht="24" customHeight="1">
      <c r="A8" s="60">
        <v>5</v>
      </c>
      <c r="B8" s="38" t="s">
        <v>684</v>
      </c>
      <c r="C8" s="60">
        <v>17</v>
      </c>
      <c r="D8" s="38" t="s">
        <v>799</v>
      </c>
      <c r="E8" s="60">
        <v>31</v>
      </c>
      <c r="F8" s="38" t="s">
        <v>629</v>
      </c>
    </row>
    <row r="9" spans="1:9" s="61" customFormat="1" ht="24" customHeight="1">
      <c r="A9" s="60">
        <v>6</v>
      </c>
      <c r="B9" s="38" t="s">
        <v>689</v>
      </c>
      <c r="C9" s="60">
        <v>18</v>
      </c>
      <c r="D9" s="38" t="s">
        <v>800</v>
      </c>
      <c r="E9" s="60">
        <v>32</v>
      </c>
      <c r="F9" s="38" t="s">
        <v>624</v>
      </c>
    </row>
    <row r="10" spans="1:9" s="61" customFormat="1" ht="24" customHeight="1">
      <c r="A10" s="60">
        <v>7</v>
      </c>
      <c r="B10" s="38" t="s">
        <v>690</v>
      </c>
      <c r="C10" s="60">
        <v>19</v>
      </c>
      <c r="D10" s="38" t="s">
        <v>632</v>
      </c>
      <c r="E10" s="60">
        <v>33</v>
      </c>
      <c r="F10" s="38" t="s">
        <v>625</v>
      </c>
    </row>
    <row r="11" spans="1:9" s="61" customFormat="1" ht="24" customHeight="1">
      <c r="A11" s="60">
        <v>8</v>
      </c>
      <c r="B11" s="38" t="s">
        <v>638</v>
      </c>
      <c r="C11" s="60">
        <v>20</v>
      </c>
      <c r="D11" s="38" t="s">
        <v>633</v>
      </c>
      <c r="E11" s="60">
        <v>34</v>
      </c>
      <c r="F11" s="38" t="s">
        <v>626</v>
      </c>
    </row>
    <row r="12" spans="1:9" s="61" customFormat="1" ht="24" customHeight="1">
      <c r="A12" s="60">
        <v>9</v>
      </c>
      <c r="B12" s="38" t="s">
        <v>639</v>
      </c>
      <c r="C12" s="60">
        <v>21</v>
      </c>
      <c r="D12" s="38" t="s">
        <v>634</v>
      </c>
      <c r="E12" s="60">
        <v>35</v>
      </c>
      <c r="F12" s="38" t="s">
        <v>627</v>
      </c>
    </row>
    <row r="13" spans="1:9" s="61" customFormat="1" ht="24" customHeight="1">
      <c r="A13" s="60">
        <v>10</v>
      </c>
      <c r="B13" s="38" t="s">
        <v>636</v>
      </c>
      <c r="C13" s="60">
        <v>22</v>
      </c>
      <c r="D13" s="38" t="s">
        <v>685</v>
      </c>
      <c r="E13" s="64"/>
      <c r="F13" s="64"/>
    </row>
    <row r="14" spans="1:9" s="61" customFormat="1" ht="24" customHeight="1">
      <c r="A14" s="60">
        <v>11</v>
      </c>
      <c r="B14" s="38" t="s">
        <v>637</v>
      </c>
      <c r="C14" s="60">
        <v>23</v>
      </c>
      <c r="D14" s="38" t="s">
        <v>630</v>
      </c>
      <c r="E14" s="60"/>
    </row>
    <row r="15" spans="1:9" s="61" customFormat="1" ht="24" customHeight="1">
      <c r="A15" s="60"/>
      <c r="B15" s="39"/>
      <c r="C15" s="60">
        <v>24</v>
      </c>
      <c r="D15" s="38" t="s">
        <v>801</v>
      </c>
      <c r="E15" s="60"/>
    </row>
    <row r="16" spans="1:9" s="61" customFormat="1" ht="24" customHeight="1">
      <c r="A16" s="60">
        <v>12</v>
      </c>
      <c r="B16" s="38" t="s">
        <v>529</v>
      </c>
      <c r="C16" s="60">
        <v>25</v>
      </c>
      <c r="D16" s="38" t="s">
        <v>196</v>
      </c>
      <c r="E16" s="60"/>
    </row>
    <row r="17" spans="1:5" s="61" customFormat="1" ht="24" customHeight="1">
      <c r="A17" s="65"/>
      <c r="B17" s="42"/>
      <c r="C17" s="60">
        <v>26</v>
      </c>
      <c r="D17" s="38" t="s">
        <v>635</v>
      </c>
      <c r="E17" s="65"/>
    </row>
    <row r="18" spans="1:5" s="61" customFormat="1" ht="24" customHeight="1">
      <c r="C18" s="64"/>
    </row>
    <row r="19" spans="1:5">
      <c r="B19" s="58" t="s">
        <v>809</v>
      </c>
    </row>
    <row r="20" spans="1:5">
      <c r="B20" s="58" t="s">
        <v>810</v>
      </c>
    </row>
    <row r="21" spans="1:5">
      <c r="B21" s="58" t="s">
        <v>811</v>
      </c>
    </row>
    <row r="22" spans="1:5">
      <c r="B22" s="571" t="s">
        <v>812</v>
      </c>
    </row>
    <row r="23" spans="1:5">
      <c r="B23" s="571" t="s">
        <v>813</v>
      </c>
    </row>
  </sheetData>
  <sheetProtection sheet="1" objects="1" scenarios="1" selectLockedCells="1"/>
  <hyperlinks>
    <hyperlink ref="F9" location="'Liebherr hooks'!A1" display="Liebherr hooks" xr:uid="{C6B1AA78-9A75-43B4-B5C9-379F7FE2D502}"/>
    <hyperlink ref="F10" location="'Tadano hooks'!A1" display="Tadano hooks" xr:uid="{ACF3565B-3880-4FAC-889B-81945A1DD80B}"/>
    <hyperlink ref="F11" location="'Grove hooks'!A1" display="Grove hooks" xr:uid="{23ED99A3-3068-4990-9AFE-A973D730BB80}"/>
    <hyperlink ref="F12" location="'Demag hooks'!A1" display="Demag hooks" xr:uid="{1F5B6ECE-236E-462E-8307-71C616E663EE}"/>
    <hyperlink ref="F4" location="'Liebherr line pulls'!A1" display="Liebherr line pulls" xr:uid="{D202415C-1E89-44BD-9AE9-4DC220A2BF28}"/>
    <hyperlink ref="F5" location="'Tadano line pulls'!A1" display="Tadano line pulls" xr:uid="{81E811E1-AC4F-402E-8927-D83F090B3969}"/>
    <hyperlink ref="F6" location="'Grove line pulls'!A1" display="Grove line pulls" xr:uid="{50E3B027-B7AB-4470-B315-F153D1AF6424}"/>
    <hyperlink ref="F7" location="'Demag line pulls'!A1" display="Demag line pulls" xr:uid="{0F18A198-40C7-40F1-822D-BB7E7E7C071B}"/>
    <hyperlink ref="F8" location="'Misc Line pulls'!A1" display="Misc Line pulls" xr:uid="{F86BD0B8-5EEB-45F4-8035-FF81923C3298}"/>
    <hyperlink ref="B4" location="'Rigging calcs'!A1" display="Rigging calcs" xr:uid="{2CEEBE76-157F-4B12-BFC6-7E8928F8E638}"/>
    <hyperlink ref="B5" location="'Rigging weights'!A1" display="Rigging weights" xr:uid="{E9B9545D-1627-41E0-9C76-467B2EB7C890}"/>
    <hyperlink ref="B6" location="G80!B2" display="Chain SWL" xr:uid="{A4518C5E-5D68-4283-901C-0F10186A63DF}"/>
    <hyperlink ref="B7" location="'G100'!A1" display="G100 chains" xr:uid="{205A207D-D359-42AB-B19E-374FB61B9EAA}"/>
    <hyperlink ref="B8" location="'G120'!A1" display="G120 chains" xr:uid="{4A2D10E4-E995-4B69-A3B1-15A6C6F1C929}"/>
    <hyperlink ref="B9" location="'SB shackles'!A1" display="SB shackles" xr:uid="{34C1F092-67A2-4D78-BDA0-1D3F4F90EB2D}"/>
    <hyperlink ref="B10" location="'WB shackles'!A1" display="WB shackles" xr:uid="{2661EF97-30EB-4ADA-9E88-4FC76EB8F9BE}"/>
    <hyperlink ref="B11" location="'Super shackles'!A1" display="Super shackles" xr:uid="{972AF1DF-3428-48CF-AB92-45B8C6C2C94B}"/>
    <hyperlink ref="B12" location="'Soft Rounds'!A1" display="Soft Rounds" xr:uid="{282E7C63-6F86-4625-8B72-0059ECA9DEAE}"/>
    <hyperlink ref="B13" location="'Wire slings 1770'!A1" display="Wire slings 1770" xr:uid="{DEFBDAEE-BD76-4013-B8F9-949AC3E79B75}"/>
    <hyperlink ref="B14" location="'Wire slings 1960'!A1" display="Wire slings 1960" xr:uid="{3F27668F-E0E3-409D-BAAD-FC5EA1F35487}"/>
    <hyperlink ref="B16" location="'Conversions'!A1" display="Conversions" xr:uid="{30575C77-1C98-4750-BB59-DD2FA46C2CA4}"/>
    <hyperlink ref="D4" location="'Load share calc'!A1" display="Load share calc" xr:uid="{4D4ADD95-C7CE-42BF-A8F3-7AFA2C3C3CFC}"/>
    <hyperlink ref="D5" location="'Lift &amp; Tail calc'!A1" display="Lift &amp; Tail calc" xr:uid="{2CEF0C49-7248-4EE2-84FD-8B641C31242F}"/>
    <hyperlink ref="D10" location="'4 point lift calc'!A1" display="4 point lift calc" xr:uid="{3490323C-BBEC-424C-87F1-1F9A8408FF8F}"/>
    <hyperlink ref="D11" location="'Load splits - 8 pt'!A1" display="Load splits - 8 pt" xr:uid="{9AAA04BB-5C0D-4EF6-9DD3-214A793CECAF}"/>
    <hyperlink ref="D12" location="'Sling tensions - 8 pt'!A1" display="Sling tensions - 8 pt" xr:uid="{717C4144-CCB1-44D0-94C1-8994904D994A}"/>
    <hyperlink ref="D13" location="'Interpolate'!A1" display="Interpolate" xr:uid="{70C90DAC-27F2-4A69-9631-6D522A4872CD}"/>
    <hyperlink ref="D14" location="'Wind speeds'!A1" display="Wind speeds" xr:uid="{036F1657-98F3-4DBB-AB0B-E219D9BCC662}"/>
    <hyperlink ref="D15" location="'GBP Calc'!A1" display="GBP Calc" xr:uid="{8DEDBBEA-7024-4D81-8CA2-EE5054CF55FF}"/>
    <hyperlink ref="D16" location="'Min hook weight'!A1" display="Min hook weight" xr:uid="{4813086E-2553-4125-ADDE-9DD6F35B6152}"/>
    <hyperlink ref="D6" location="'Multi crane calcs'!A1" display="Multi crane calcs" xr:uid="{17F14BDF-DB8A-4778-AEFA-ABF8C092E29A}"/>
    <hyperlink ref="D7" location="'Boom clearance'!A1" display="Boom clearance" xr:uid="{DEDDF25E-5FBD-4D4B-AEB8-882623D2844F}"/>
    <hyperlink ref="D8" location="'Sling tensions - 2 pt'!A1" display="Sling tensions - 2 pt" xr:uid="{1D24114D-A023-47F0-A3FB-D10D1191FE1C}"/>
    <hyperlink ref="D9" location="'Sling tensions - 4 pt'!A1" display="Sling tensions - 4 pt" xr:uid="{14B4B4AD-A6E6-4AE9-8B1C-3CB0E665016E}"/>
    <hyperlink ref="D17" location="'Interpolate SSL'!A1" display="Interpolate SSL" xr:uid="{F8B8D0D0-AE42-41B6-8328-C9EF0C9FC6AA}"/>
    <hyperlink ref="B22" r:id="rId1" xr:uid="{B76EE25F-F98B-4F62-BEBD-F8DB0BC7CDDA}"/>
    <hyperlink ref="B23" r:id="rId2" xr:uid="{15CAA0A6-0499-4EF0-902E-8C3F5479DC24}"/>
  </hyperlinks>
  <pageMargins left="0.25" right="0.25" top="0.75" bottom="0.75" header="0.3" footer="0.3"/>
  <pageSetup paperSize="9" scale="92" orientation="landscape" horizontalDpi="300" verticalDpi="3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36623-3D59-492A-9B31-A1F91A14F04B}">
  <sheetPr codeName="Sheet18">
    <pageSetUpPr fitToPage="1"/>
  </sheetPr>
  <dimension ref="B1:N42"/>
  <sheetViews>
    <sheetView showGridLines="0" showRowColHeaders="0" zoomScale="90" zoomScaleNormal="90" workbookViewId="0">
      <selection activeCell="I2" sqref="I2"/>
      <extLst>
        <ext xmlns:xlsdti="http://schemas.microsoft.com/office/spreadsheetml/2023/showDataTypeIcons" uri="{77bfe23e-c014-4d31-8a63-9c772dbf06b6}">
          <xlsdti:showDataTypeIcons visible="0"/>
        </ext>
      </extLst>
    </sheetView>
  </sheetViews>
  <sheetFormatPr defaultRowHeight="12"/>
  <cols>
    <col min="1" max="1" width="5.7109375" style="175" customWidth="1"/>
    <col min="2" max="2" width="6.7109375" style="175" customWidth="1"/>
    <col min="3" max="9" width="10.28515625" style="175" customWidth="1"/>
    <col min="10" max="16384" width="9.140625" style="175"/>
  </cols>
  <sheetData>
    <row r="1" spans="2:14" s="88" customFormat="1" ht="18" customHeight="1"/>
    <row r="2" spans="2:14" s="88" customFormat="1" ht="18" customHeight="1">
      <c r="B2" s="164" t="s">
        <v>603</v>
      </c>
      <c r="C2" s="164"/>
      <c r="D2" s="164"/>
      <c r="E2" s="164"/>
      <c r="I2" s="592" t="s">
        <v>298</v>
      </c>
      <c r="N2" s="68"/>
    </row>
    <row r="3" spans="2:14" s="88" customFormat="1" ht="18" customHeight="1"/>
    <row r="4" spans="2:14" s="88" customFormat="1" ht="18" customHeight="1"/>
    <row r="5" spans="2:14" s="88" customFormat="1" ht="18" customHeight="1"/>
    <row r="6" spans="2:14" s="88" customFormat="1" ht="18" customHeight="1"/>
    <row r="7" spans="2:14" s="88" customFormat="1" ht="18" customHeight="1">
      <c r="D7" s="96"/>
      <c r="E7" s="96"/>
      <c r="F7" s="96"/>
      <c r="G7" s="96"/>
      <c r="H7" s="96"/>
      <c r="I7" s="96"/>
    </row>
    <row r="8" spans="2:14" s="88" customFormat="1" ht="18" customHeight="1">
      <c r="D8" s="96"/>
      <c r="E8" s="96"/>
      <c r="F8" s="96"/>
      <c r="G8" s="96"/>
      <c r="H8" s="96"/>
      <c r="I8" s="96"/>
    </row>
    <row r="9" spans="2:14" s="88" customFormat="1" ht="18" customHeight="1">
      <c r="D9" s="96"/>
      <c r="E9" s="96"/>
      <c r="F9" s="96"/>
      <c r="G9" s="96"/>
      <c r="H9" s="96"/>
      <c r="I9" s="96"/>
    </row>
    <row r="10" spans="2:14" s="88" customFormat="1" ht="18" customHeight="1">
      <c r="D10" s="96"/>
      <c r="E10" s="96"/>
      <c r="F10" s="96"/>
      <c r="G10" s="96"/>
      <c r="H10" s="96"/>
      <c r="I10" s="96"/>
    </row>
    <row r="11" spans="2:14" s="88" customFormat="1" ht="18" customHeight="1">
      <c r="D11" s="147" t="s">
        <v>604</v>
      </c>
      <c r="E11" s="147" t="s">
        <v>605</v>
      </c>
      <c r="F11" s="147" t="s">
        <v>606</v>
      </c>
      <c r="G11" s="104" t="s">
        <v>607</v>
      </c>
      <c r="H11" s="104"/>
      <c r="I11" s="104"/>
    </row>
    <row r="12" spans="2:14" s="88" customFormat="1" ht="18" customHeight="1">
      <c r="C12" s="147" t="s">
        <v>608</v>
      </c>
      <c r="D12" s="147">
        <v>1</v>
      </c>
      <c r="E12" s="147">
        <v>0.8</v>
      </c>
      <c r="F12" s="147">
        <v>2</v>
      </c>
      <c r="G12" s="147" t="s">
        <v>609</v>
      </c>
      <c r="H12" s="147" t="s">
        <v>610</v>
      </c>
      <c r="I12" s="147" t="s">
        <v>611</v>
      </c>
    </row>
    <row r="13" spans="2:14" s="88" customFormat="1" ht="28.5" customHeight="1">
      <c r="C13" s="165" t="s">
        <v>612</v>
      </c>
    </row>
    <row r="14" spans="2:14" s="88" customFormat="1" ht="18" customHeight="1">
      <c r="C14" s="166" t="s">
        <v>613</v>
      </c>
      <c r="D14" s="97">
        <v>1</v>
      </c>
      <c r="E14" s="97">
        <v>0.8</v>
      </c>
      <c r="F14" s="97">
        <v>2</v>
      </c>
      <c r="G14" s="97">
        <v>1.7</v>
      </c>
      <c r="H14" s="97">
        <v>1.4</v>
      </c>
      <c r="I14" s="97">
        <v>1</v>
      </c>
    </row>
    <row r="15" spans="2:14" s="88" customFormat="1" ht="18" customHeight="1">
      <c r="C15" s="167" t="s">
        <v>614</v>
      </c>
      <c r="D15" s="97">
        <v>2</v>
      </c>
      <c r="E15" s="97">
        <v>1.6</v>
      </c>
      <c r="F15" s="97">
        <v>4</v>
      </c>
      <c r="G15" s="97">
        <v>3.4</v>
      </c>
      <c r="H15" s="97">
        <v>2.8</v>
      </c>
      <c r="I15" s="97">
        <v>2</v>
      </c>
    </row>
    <row r="16" spans="2:14" s="88" customFormat="1" ht="18" customHeight="1">
      <c r="C16" s="168" t="s">
        <v>615</v>
      </c>
      <c r="D16" s="97">
        <v>3</v>
      </c>
      <c r="E16" s="97">
        <v>2.4</v>
      </c>
      <c r="F16" s="97">
        <v>6</v>
      </c>
      <c r="G16" s="97">
        <v>5.0999999999999996</v>
      </c>
      <c r="H16" s="97">
        <v>4.2</v>
      </c>
      <c r="I16" s="97">
        <v>3</v>
      </c>
    </row>
    <row r="17" spans="2:9" s="88" customFormat="1" ht="18" customHeight="1">
      <c r="C17" s="169" t="s">
        <v>616</v>
      </c>
      <c r="D17" s="97">
        <v>4</v>
      </c>
      <c r="E17" s="97">
        <v>3.2</v>
      </c>
      <c r="F17" s="97">
        <v>8</v>
      </c>
      <c r="G17" s="97">
        <v>6.9</v>
      </c>
      <c r="H17" s="97">
        <v>5.6</v>
      </c>
      <c r="I17" s="97">
        <v>4</v>
      </c>
    </row>
    <row r="18" spans="2:9" s="88" customFormat="1" ht="18" customHeight="1">
      <c r="C18" s="170" t="s">
        <v>617</v>
      </c>
      <c r="D18" s="97">
        <v>5</v>
      </c>
      <c r="E18" s="97">
        <v>4</v>
      </c>
      <c r="F18" s="97">
        <v>10</v>
      </c>
      <c r="G18" s="97">
        <v>8.6</v>
      </c>
      <c r="H18" s="97">
        <v>7</v>
      </c>
      <c r="I18" s="97">
        <v>5</v>
      </c>
    </row>
    <row r="19" spans="2:9" s="88" customFormat="1" ht="18" customHeight="1">
      <c r="C19" s="171" t="s">
        <v>618</v>
      </c>
      <c r="D19" s="97">
        <v>6</v>
      </c>
      <c r="E19" s="97">
        <v>4.8</v>
      </c>
      <c r="F19" s="97">
        <v>12</v>
      </c>
      <c r="G19" s="97">
        <v>10.3</v>
      </c>
      <c r="H19" s="97">
        <v>8.4</v>
      </c>
      <c r="I19" s="97">
        <v>6</v>
      </c>
    </row>
    <row r="20" spans="2:9" s="88" customFormat="1" ht="18" customHeight="1">
      <c r="C20" s="172" t="s">
        <v>619</v>
      </c>
      <c r="D20" s="97">
        <v>8</v>
      </c>
      <c r="E20" s="97">
        <v>6.4</v>
      </c>
      <c r="F20" s="97">
        <v>16</v>
      </c>
      <c r="G20" s="97">
        <v>13.8</v>
      </c>
      <c r="H20" s="97">
        <v>11.2</v>
      </c>
      <c r="I20" s="97">
        <v>8</v>
      </c>
    </row>
    <row r="21" spans="2:9" s="88" customFormat="1" ht="18" customHeight="1">
      <c r="C21" s="173" t="s">
        <v>620</v>
      </c>
      <c r="D21" s="97">
        <v>10</v>
      </c>
      <c r="E21" s="97">
        <v>8</v>
      </c>
      <c r="F21" s="97">
        <v>20</v>
      </c>
      <c r="G21" s="97">
        <v>17.3</v>
      </c>
      <c r="H21" s="97">
        <v>14.1</v>
      </c>
      <c r="I21" s="97">
        <v>10</v>
      </c>
    </row>
    <row r="22" spans="2:9" s="88" customFormat="1" ht="18" customHeight="1">
      <c r="C22" s="173" t="s">
        <v>620</v>
      </c>
      <c r="D22" s="97">
        <v>15</v>
      </c>
      <c r="E22" s="97">
        <v>12</v>
      </c>
      <c r="F22" s="97">
        <v>30</v>
      </c>
      <c r="G22" s="97">
        <v>25.9</v>
      </c>
      <c r="H22" s="97">
        <v>21.1</v>
      </c>
      <c r="I22" s="97">
        <v>15</v>
      </c>
    </row>
    <row r="23" spans="2:9" s="88" customFormat="1" ht="18" customHeight="1">
      <c r="C23" s="173" t="s">
        <v>620</v>
      </c>
      <c r="D23" s="97">
        <v>20</v>
      </c>
      <c r="E23" s="97">
        <v>16</v>
      </c>
      <c r="F23" s="97">
        <v>40</v>
      </c>
      <c r="G23" s="97">
        <v>34.6</v>
      </c>
      <c r="H23" s="97">
        <v>28.2</v>
      </c>
      <c r="I23" s="97">
        <v>20</v>
      </c>
    </row>
    <row r="24" spans="2:9" s="88" customFormat="1" ht="18" customHeight="1">
      <c r="C24" s="173" t="s">
        <v>620</v>
      </c>
      <c r="D24" s="97">
        <v>25</v>
      </c>
      <c r="E24" s="97">
        <v>20</v>
      </c>
      <c r="F24" s="97">
        <v>50</v>
      </c>
      <c r="G24" s="97">
        <v>43.2</v>
      </c>
      <c r="H24" s="97">
        <v>35.200000000000003</v>
      </c>
      <c r="I24" s="97">
        <v>25</v>
      </c>
    </row>
    <row r="25" spans="2:9" s="88" customFormat="1" ht="18" customHeight="1">
      <c r="C25" s="173" t="s">
        <v>620</v>
      </c>
      <c r="D25" s="97">
        <v>30</v>
      </c>
      <c r="E25" s="97">
        <v>24</v>
      </c>
      <c r="F25" s="97">
        <v>60</v>
      </c>
      <c r="G25" s="97">
        <v>51.9</v>
      </c>
      <c r="H25" s="97">
        <v>42.3</v>
      </c>
      <c r="I25" s="97">
        <v>30</v>
      </c>
    </row>
    <row r="26" spans="2:9" s="88" customFormat="1" ht="18" customHeight="1">
      <c r="C26" s="173" t="s">
        <v>620</v>
      </c>
      <c r="D26" s="97">
        <v>40</v>
      </c>
      <c r="E26" s="97">
        <v>32</v>
      </c>
      <c r="F26" s="97">
        <v>80</v>
      </c>
      <c r="G26" s="97">
        <v>69.2</v>
      </c>
      <c r="H26" s="97">
        <v>56.4</v>
      </c>
      <c r="I26" s="97">
        <v>40</v>
      </c>
    </row>
    <row r="27" spans="2:9" s="88" customFormat="1" ht="18" customHeight="1">
      <c r="C27" s="173" t="s">
        <v>620</v>
      </c>
      <c r="D27" s="97">
        <v>50</v>
      </c>
      <c r="E27" s="97">
        <v>40</v>
      </c>
      <c r="F27" s="97">
        <v>100</v>
      </c>
      <c r="G27" s="97">
        <v>86.5</v>
      </c>
      <c r="H27" s="97">
        <v>70.5</v>
      </c>
      <c r="I27" s="97">
        <v>50</v>
      </c>
    </row>
    <row r="28" spans="2:9" s="88" customFormat="1" ht="18" customHeight="1"/>
    <row r="29" spans="2:9" s="88" customFormat="1" ht="18" customHeight="1">
      <c r="B29" s="572" t="s">
        <v>809</v>
      </c>
    </row>
    <row r="30" spans="2:9" s="88" customFormat="1" ht="18" customHeight="1">
      <c r="B30" s="572" t="s">
        <v>810</v>
      </c>
    </row>
    <row r="31" spans="2:9" s="88" customFormat="1" ht="18" customHeight="1">
      <c r="B31" s="572" t="s">
        <v>811</v>
      </c>
    </row>
    <row r="32" spans="2:9" s="88" customFormat="1" ht="18" customHeight="1">
      <c r="B32" s="573" t="s">
        <v>812</v>
      </c>
    </row>
    <row r="33" spans="2:2" s="88" customFormat="1" ht="18" customHeight="1">
      <c r="B33" s="573" t="s">
        <v>813</v>
      </c>
    </row>
    <row r="34" spans="2:2" s="88" customFormat="1" ht="18" customHeight="1"/>
    <row r="35" spans="2:2" s="88" customFormat="1" ht="18" customHeight="1"/>
    <row r="36" spans="2:2" s="88" customFormat="1" ht="18" customHeight="1"/>
    <row r="37" spans="2:2" s="88" customFormat="1" ht="18" customHeight="1"/>
    <row r="38" spans="2:2" s="88" customFormat="1" ht="18" customHeight="1"/>
    <row r="39" spans="2:2" s="88" customFormat="1" ht="18" customHeight="1"/>
    <row r="40" spans="2:2" s="88" customFormat="1" ht="18" customHeight="1"/>
    <row r="41" spans="2:2" s="88" customFormat="1" ht="18" customHeight="1"/>
    <row r="42" spans="2:2" s="88" customFormat="1" ht="18" customHeight="1"/>
  </sheetData>
  <sheetProtection sheet="1" objects="1" scenarios="1" selectLockedCells="1"/>
  <mergeCells count="6">
    <mergeCell ref="G11:I11"/>
    <mergeCell ref="B2:E2"/>
    <mergeCell ref="D7:D10"/>
    <mergeCell ref="E7:E10"/>
    <mergeCell ref="F7:F10"/>
    <mergeCell ref="G7:I10"/>
  </mergeCells>
  <hyperlinks>
    <hyperlink ref="I2" location="Home!A1" display="Home" xr:uid="{42C8D219-7824-4D57-A448-BF30F4CBDE72}"/>
    <hyperlink ref="B32" r:id="rId1" xr:uid="{A722E728-695D-409D-B11E-D654E3347604}"/>
    <hyperlink ref="B33" r:id="rId2" xr:uid="{5DD2FDC8-7D8F-4EA5-8444-CB1128AEC6C7}"/>
  </hyperlinks>
  <pageMargins left="0.25" right="0.25" top="0.75" bottom="0.75" header="0.3" footer="0.3"/>
  <pageSetup paperSize="9" orientation="landscape" horizontalDpi="300" verticalDpi="300"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6647B-35D7-47C2-9AC9-058101478061}">
  <sheetPr codeName="Sheet19">
    <pageSetUpPr fitToPage="1"/>
  </sheetPr>
  <dimension ref="B1:O43"/>
  <sheetViews>
    <sheetView showGridLines="0" showRowColHeaders="0" zoomScale="90" zoomScaleNormal="90" workbookViewId="0">
      <selection activeCell="N13" sqref="N13"/>
      <extLst>
        <ext xmlns:xlsdti="http://schemas.microsoft.com/office/spreadsheetml/2023/showDataTypeIcons" uri="{77bfe23e-c014-4d31-8a63-9c772dbf06b6}">
          <xlsdti:showDataTypeIcons visible="0"/>
        </ext>
      </extLst>
    </sheetView>
  </sheetViews>
  <sheetFormatPr defaultRowHeight="12"/>
  <cols>
    <col min="1" max="1" width="5.7109375" style="175" customWidth="1"/>
    <col min="2" max="2" width="6.7109375" style="175" customWidth="1"/>
    <col min="3" max="3" width="15.5703125" style="88" bestFit="1" customWidth="1"/>
    <col min="4" max="15" width="10.28515625" style="88" customWidth="1"/>
    <col min="16" max="16384" width="9.140625" style="175"/>
  </cols>
  <sheetData>
    <row r="1" spans="2:15" ht="18" customHeight="1"/>
    <row r="2" spans="2:15" ht="18" customHeight="1">
      <c r="B2" s="164" t="s">
        <v>516</v>
      </c>
      <c r="C2" s="164"/>
      <c r="D2" s="164"/>
      <c r="E2" s="164"/>
      <c r="F2" s="174" t="s">
        <v>517</v>
      </c>
      <c r="N2" s="592" t="s">
        <v>298</v>
      </c>
    </row>
    <row r="3" spans="2:15" ht="18" customHeight="1"/>
    <row r="4" spans="2:15" ht="18" customHeight="1">
      <c r="D4" s="104" t="s">
        <v>351</v>
      </c>
      <c r="E4" s="104"/>
      <c r="F4" s="104"/>
      <c r="G4" s="104"/>
      <c r="H4" s="104"/>
      <c r="I4" s="104"/>
      <c r="J4" s="104"/>
      <c r="K4" s="104" t="s">
        <v>400</v>
      </c>
      <c r="L4" s="104"/>
      <c r="M4" s="104"/>
      <c r="N4" s="104"/>
      <c r="O4" s="104"/>
    </row>
    <row r="5" spans="2:15" ht="18" customHeight="1">
      <c r="D5" s="96"/>
      <c r="E5" s="96"/>
      <c r="F5" s="96"/>
      <c r="G5" s="96"/>
      <c r="H5" s="96"/>
      <c r="I5" s="96"/>
      <c r="J5" s="96"/>
      <c r="K5" s="96"/>
      <c r="L5" s="96"/>
      <c r="M5" s="96"/>
      <c r="N5" s="96"/>
      <c r="O5" s="96"/>
    </row>
    <row r="6" spans="2:15" ht="18" customHeight="1">
      <c r="D6" s="96"/>
      <c r="E6" s="96"/>
      <c r="F6" s="96"/>
      <c r="G6" s="96"/>
      <c r="H6" s="96"/>
      <c r="I6" s="96"/>
      <c r="J6" s="96"/>
      <c r="K6" s="96"/>
      <c r="L6" s="96"/>
      <c r="M6" s="96"/>
      <c r="N6" s="96"/>
      <c r="O6" s="96"/>
    </row>
    <row r="7" spans="2:15" ht="18" customHeight="1">
      <c r="D7" s="96"/>
      <c r="E7" s="96"/>
      <c r="F7" s="96"/>
      <c r="G7" s="96"/>
      <c r="H7" s="96"/>
      <c r="I7" s="96"/>
      <c r="J7" s="96"/>
      <c r="K7" s="96"/>
      <c r="L7" s="96"/>
      <c r="M7" s="96"/>
      <c r="N7" s="96"/>
      <c r="O7" s="96"/>
    </row>
    <row r="8" spans="2:15" ht="18" customHeight="1">
      <c r="D8" s="96"/>
      <c r="E8" s="96"/>
      <c r="F8" s="96"/>
      <c r="G8" s="96"/>
      <c r="H8" s="96"/>
      <c r="I8" s="96"/>
      <c r="J8" s="96"/>
      <c r="K8" s="96"/>
      <c r="L8" s="96"/>
      <c r="M8" s="96"/>
      <c r="N8" s="96"/>
      <c r="O8" s="96"/>
    </row>
    <row r="9" spans="2:15" ht="18" customHeight="1">
      <c r="D9" s="96"/>
      <c r="E9" s="96"/>
      <c r="F9" s="96"/>
      <c r="G9" s="96"/>
      <c r="H9" s="96"/>
      <c r="I9" s="96"/>
      <c r="J9" s="96"/>
      <c r="K9" s="96"/>
      <c r="L9" s="96"/>
      <c r="M9" s="96"/>
      <c r="N9" s="96"/>
      <c r="O9" s="96"/>
    </row>
    <row r="10" spans="2:15" ht="51" customHeight="1">
      <c r="D10" s="108" t="s">
        <v>357</v>
      </c>
      <c r="E10" s="108" t="s">
        <v>364</v>
      </c>
      <c r="F10" s="108" t="s">
        <v>370</v>
      </c>
      <c r="G10" s="109" t="s">
        <v>404</v>
      </c>
      <c r="H10" s="109"/>
      <c r="I10" s="109" t="s">
        <v>405</v>
      </c>
      <c r="J10" s="109"/>
      <c r="K10" s="109" t="s">
        <v>357</v>
      </c>
      <c r="L10" s="109"/>
      <c r="M10" s="109"/>
      <c r="N10" s="108" t="s">
        <v>364</v>
      </c>
      <c r="O10" s="108" t="s">
        <v>370</v>
      </c>
    </row>
    <row r="11" spans="2:15" ht="18" customHeight="1">
      <c r="C11" s="147" t="s">
        <v>406</v>
      </c>
      <c r="D11" s="97" t="s">
        <v>119</v>
      </c>
      <c r="E11" s="97" t="s">
        <v>119</v>
      </c>
      <c r="F11" s="97" t="s">
        <v>119</v>
      </c>
      <c r="G11" s="97" t="s">
        <v>394</v>
      </c>
      <c r="H11" s="97" t="s">
        <v>395</v>
      </c>
      <c r="I11" s="97" t="s">
        <v>394</v>
      </c>
      <c r="J11" s="97" t="s">
        <v>395</v>
      </c>
      <c r="K11" s="97" t="s">
        <v>407</v>
      </c>
      <c r="L11" s="97" t="s">
        <v>395</v>
      </c>
      <c r="M11" s="97" t="s">
        <v>396</v>
      </c>
      <c r="N11" s="97" t="s">
        <v>408</v>
      </c>
      <c r="O11" s="97" t="s">
        <v>408</v>
      </c>
    </row>
    <row r="12" spans="2:15" ht="18" customHeight="1">
      <c r="C12" s="147" t="s">
        <v>518</v>
      </c>
      <c r="D12" s="97" t="s">
        <v>519</v>
      </c>
      <c r="E12" s="97" t="s">
        <v>520</v>
      </c>
      <c r="F12" s="97" t="s">
        <v>521</v>
      </c>
      <c r="G12" s="97" t="s">
        <v>522</v>
      </c>
      <c r="H12" s="97" t="s">
        <v>523</v>
      </c>
      <c r="I12" s="97" t="s">
        <v>524</v>
      </c>
      <c r="J12" s="97" t="s">
        <v>525</v>
      </c>
      <c r="K12" s="97" t="s">
        <v>522</v>
      </c>
      <c r="L12" s="97" t="s">
        <v>523</v>
      </c>
      <c r="M12" s="97" t="s">
        <v>519</v>
      </c>
      <c r="N12" s="97" t="s">
        <v>526</v>
      </c>
      <c r="O12" s="97" t="s">
        <v>524</v>
      </c>
    </row>
    <row r="13" spans="2:15" ht="18" customHeight="1">
      <c r="C13" s="176" t="s">
        <v>527</v>
      </c>
      <c r="D13" s="177"/>
      <c r="E13" s="178"/>
      <c r="F13" s="178"/>
      <c r="G13" s="178"/>
      <c r="H13" s="178"/>
      <c r="I13" s="179" t="s">
        <v>691</v>
      </c>
      <c r="J13" s="178"/>
      <c r="K13" s="178"/>
      <c r="L13" s="178"/>
      <c r="M13" s="178"/>
      <c r="N13" s="178"/>
      <c r="O13" s="180"/>
    </row>
    <row r="14" spans="2:15" ht="18" customHeight="1">
      <c r="C14" s="147">
        <v>8</v>
      </c>
      <c r="D14" s="97">
        <v>0.78</v>
      </c>
      <c r="E14" s="97">
        <v>0.57999999999999996</v>
      </c>
      <c r="F14" s="97">
        <v>0.39</v>
      </c>
      <c r="G14" s="97">
        <v>1.35</v>
      </c>
      <c r="H14" s="97">
        <v>1.1000000000000001</v>
      </c>
      <c r="I14" s="97">
        <v>0.68</v>
      </c>
      <c r="J14" s="97">
        <v>0.55000000000000004</v>
      </c>
      <c r="K14" s="97">
        <v>1.35</v>
      </c>
      <c r="L14" s="97">
        <v>1.1000000000000001</v>
      </c>
      <c r="M14" s="97">
        <v>0.78</v>
      </c>
      <c r="N14" s="97">
        <v>1.01</v>
      </c>
      <c r="O14" s="97">
        <v>0.68</v>
      </c>
    </row>
    <row r="15" spans="2:15" ht="18" customHeight="1">
      <c r="C15" s="147">
        <v>9</v>
      </c>
      <c r="D15" s="97">
        <v>0.99</v>
      </c>
      <c r="E15" s="97">
        <v>0.74</v>
      </c>
      <c r="F15" s="97">
        <v>0.49</v>
      </c>
      <c r="G15" s="97">
        <v>1.71</v>
      </c>
      <c r="H15" s="97">
        <v>1.4</v>
      </c>
      <c r="I15" s="97">
        <v>0.86</v>
      </c>
      <c r="J15" s="97">
        <v>0.7</v>
      </c>
      <c r="K15" s="97">
        <v>1.71</v>
      </c>
      <c r="L15" s="97">
        <v>1.4</v>
      </c>
      <c r="M15" s="97">
        <v>0.99</v>
      </c>
      <c r="N15" s="97">
        <v>1.29</v>
      </c>
      <c r="O15" s="97">
        <v>0.86</v>
      </c>
    </row>
    <row r="16" spans="2:15" ht="18" customHeight="1">
      <c r="C16" s="147">
        <v>10</v>
      </c>
      <c r="D16" s="97">
        <v>1.22</v>
      </c>
      <c r="E16" s="97">
        <v>0.92</v>
      </c>
      <c r="F16" s="97">
        <v>0.61</v>
      </c>
      <c r="G16" s="97">
        <v>2.1</v>
      </c>
      <c r="H16" s="97">
        <v>1.72</v>
      </c>
      <c r="I16" s="97">
        <v>1.06</v>
      </c>
      <c r="J16" s="97">
        <v>0.87</v>
      </c>
      <c r="K16" s="97">
        <v>2.1</v>
      </c>
      <c r="L16" s="97">
        <v>1.72</v>
      </c>
      <c r="M16" s="97">
        <v>1.22</v>
      </c>
      <c r="N16" s="97">
        <v>1.59</v>
      </c>
      <c r="O16" s="97">
        <v>1.06</v>
      </c>
    </row>
    <row r="17" spans="3:15" ht="18" customHeight="1">
      <c r="C17" s="147">
        <v>11</v>
      </c>
      <c r="D17" s="97">
        <v>1.48</v>
      </c>
      <c r="E17" s="97">
        <v>1.1100000000000001</v>
      </c>
      <c r="F17" s="97">
        <v>0.74</v>
      </c>
      <c r="G17" s="97">
        <v>2.6</v>
      </c>
      <c r="H17" s="97">
        <v>2.1</v>
      </c>
      <c r="I17" s="97">
        <v>1.29</v>
      </c>
      <c r="J17" s="97">
        <v>1.05</v>
      </c>
      <c r="K17" s="97">
        <v>2.6</v>
      </c>
      <c r="L17" s="97">
        <v>2.1</v>
      </c>
      <c r="M17" s="97">
        <v>1.48</v>
      </c>
      <c r="N17" s="97">
        <v>1.92</v>
      </c>
      <c r="O17" s="97">
        <v>1.29</v>
      </c>
    </row>
    <row r="18" spans="3:15" ht="18" customHeight="1">
      <c r="C18" s="147">
        <v>12</v>
      </c>
      <c r="D18" s="97">
        <v>1.76</v>
      </c>
      <c r="E18" s="97">
        <v>1.32</v>
      </c>
      <c r="F18" s="97">
        <v>0.88</v>
      </c>
      <c r="G18" s="97">
        <v>3</v>
      </c>
      <c r="H18" s="97">
        <v>2.5</v>
      </c>
      <c r="I18" s="97">
        <v>1.53</v>
      </c>
      <c r="J18" s="97">
        <v>1.25</v>
      </c>
      <c r="K18" s="97">
        <v>3</v>
      </c>
      <c r="L18" s="97">
        <v>2.5</v>
      </c>
      <c r="M18" s="97">
        <v>1.76</v>
      </c>
      <c r="N18" s="97">
        <v>2.2999999999999998</v>
      </c>
      <c r="O18" s="97">
        <v>1.53</v>
      </c>
    </row>
    <row r="19" spans="3:15" ht="18" customHeight="1">
      <c r="C19" s="147">
        <v>13</v>
      </c>
      <c r="D19" s="97">
        <v>2.1</v>
      </c>
      <c r="E19" s="97">
        <v>1.55</v>
      </c>
      <c r="F19" s="97">
        <v>1.04</v>
      </c>
      <c r="G19" s="97">
        <v>3.6</v>
      </c>
      <c r="H19" s="97">
        <v>2.9</v>
      </c>
      <c r="I19" s="97">
        <v>1.8</v>
      </c>
      <c r="J19" s="97">
        <v>1.47</v>
      </c>
      <c r="K19" s="97">
        <v>3.6</v>
      </c>
      <c r="L19" s="97">
        <v>2.9</v>
      </c>
      <c r="M19" s="97">
        <v>2.1</v>
      </c>
      <c r="N19" s="97">
        <v>2.7</v>
      </c>
      <c r="O19" s="97">
        <v>1.8</v>
      </c>
    </row>
    <row r="20" spans="3:15" ht="18" customHeight="1">
      <c r="C20" s="147">
        <v>14</v>
      </c>
      <c r="D20" s="97">
        <v>2.4</v>
      </c>
      <c r="E20" s="97">
        <v>1.8</v>
      </c>
      <c r="F20" s="97">
        <v>1.2</v>
      </c>
      <c r="G20" s="97">
        <v>4.2</v>
      </c>
      <c r="H20" s="97">
        <v>3.4</v>
      </c>
      <c r="I20" s="97">
        <v>2.1</v>
      </c>
      <c r="J20" s="97">
        <v>1.71</v>
      </c>
      <c r="K20" s="97">
        <v>4.2</v>
      </c>
      <c r="L20" s="97">
        <v>3.4</v>
      </c>
      <c r="M20" s="97">
        <v>2.4</v>
      </c>
      <c r="N20" s="97">
        <v>3.1</v>
      </c>
      <c r="O20" s="97">
        <v>2.1</v>
      </c>
    </row>
    <row r="21" spans="3:15" ht="18" customHeight="1">
      <c r="C21" s="147">
        <v>16</v>
      </c>
      <c r="D21" s="97">
        <v>3.1</v>
      </c>
      <c r="E21" s="97">
        <v>2.2999999999999998</v>
      </c>
      <c r="F21" s="97">
        <v>1.56</v>
      </c>
      <c r="G21" s="97">
        <v>5.4</v>
      </c>
      <c r="H21" s="97">
        <v>4.4000000000000004</v>
      </c>
      <c r="I21" s="97">
        <v>2.7</v>
      </c>
      <c r="J21" s="97">
        <v>2.2000000000000002</v>
      </c>
      <c r="K21" s="97">
        <v>5.4</v>
      </c>
      <c r="L21" s="97">
        <v>4.4000000000000004</v>
      </c>
      <c r="M21" s="97">
        <v>3.1</v>
      </c>
      <c r="N21" s="97">
        <v>4.0999999999999996</v>
      </c>
      <c r="O21" s="97">
        <v>2.7</v>
      </c>
    </row>
    <row r="22" spans="3:15" ht="18" customHeight="1">
      <c r="C22" s="147">
        <v>18</v>
      </c>
      <c r="D22" s="97">
        <v>4</v>
      </c>
      <c r="E22" s="97">
        <v>3</v>
      </c>
      <c r="F22" s="97">
        <v>1.98</v>
      </c>
      <c r="G22" s="97">
        <v>6.8</v>
      </c>
      <c r="H22" s="97">
        <v>5.6</v>
      </c>
      <c r="I22" s="97">
        <v>3.4</v>
      </c>
      <c r="J22" s="97">
        <v>2.8</v>
      </c>
      <c r="K22" s="97">
        <v>6.8</v>
      </c>
      <c r="L22" s="97">
        <v>5.6</v>
      </c>
      <c r="M22" s="97">
        <v>4</v>
      </c>
      <c r="N22" s="97">
        <v>5.0999999999999996</v>
      </c>
      <c r="O22" s="97">
        <v>3.4</v>
      </c>
    </row>
    <row r="23" spans="3:15" ht="18" customHeight="1">
      <c r="C23" s="147">
        <v>20</v>
      </c>
      <c r="D23" s="97">
        <v>4.9000000000000004</v>
      </c>
      <c r="E23" s="97">
        <v>3.7</v>
      </c>
      <c r="F23" s="97">
        <v>2.4</v>
      </c>
      <c r="G23" s="97">
        <v>8.4</v>
      </c>
      <c r="H23" s="97">
        <v>6.9</v>
      </c>
      <c r="I23" s="97">
        <v>4.2</v>
      </c>
      <c r="J23" s="97">
        <v>3.5</v>
      </c>
      <c r="K23" s="97">
        <v>8.4</v>
      </c>
      <c r="L23" s="97">
        <v>6.9</v>
      </c>
      <c r="M23" s="97">
        <v>4.9000000000000004</v>
      </c>
      <c r="N23" s="97">
        <v>6.3</v>
      </c>
      <c r="O23" s="97">
        <v>4.2</v>
      </c>
    </row>
    <row r="24" spans="3:15" ht="18" customHeight="1">
      <c r="C24" s="147">
        <v>22</v>
      </c>
      <c r="D24" s="97">
        <v>5.9</v>
      </c>
      <c r="E24" s="97">
        <v>4.4000000000000004</v>
      </c>
      <c r="F24" s="97">
        <v>3</v>
      </c>
      <c r="G24" s="97">
        <v>10.199999999999999</v>
      </c>
      <c r="H24" s="97">
        <v>8.3000000000000007</v>
      </c>
      <c r="I24" s="97">
        <v>5.0999999999999996</v>
      </c>
      <c r="J24" s="97">
        <v>4.2</v>
      </c>
      <c r="K24" s="97">
        <v>10.199999999999999</v>
      </c>
      <c r="L24" s="97">
        <v>8.3000000000000007</v>
      </c>
      <c r="M24" s="97">
        <v>5.9</v>
      </c>
      <c r="N24" s="97">
        <v>7.7</v>
      </c>
      <c r="O24" s="97">
        <v>5.0999999999999996</v>
      </c>
    </row>
    <row r="25" spans="3:15" ht="18" customHeight="1">
      <c r="C25" s="147">
        <v>24</v>
      </c>
      <c r="D25" s="97">
        <v>7</v>
      </c>
      <c r="E25" s="97">
        <v>5.3</v>
      </c>
      <c r="F25" s="97">
        <v>3.5</v>
      </c>
      <c r="G25" s="97">
        <v>12.2</v>
      </c>
      <c r="H25" s="97">
        <v>9.9</v>
      </c>
      <c r="I25" s="97">
        <v>6.1</v>
      </c>
      <c r="J25" s="97">
        <v>5</v>
      </c>
      <c r="K25" s="97">
        <v>12.2</v>
      </c>
      <c r="L25" s="97">
        <v>9.9</v>
      </c>
      <c r="M25" s="97">
        <v>7</v>
      </c>
      <c r="N25" s="97">
        <v>9.1</v>
      </c>
      <c r="O25" s="97">
        <v>6.1</v>
      </c>
    </row>
    <row r="26" spans="3:15" ht="18" customHeight="1">
      <c r="C26" s="147">
        <v>26</v>
      </c>
      <c r="D26" s="97">
        <v>8.3000000000000007</v>
      </c>
      <c r="E26" s="97">
        <v>6.2</v>
      </c>
      <c r="F26" s="97">
        <v>4.0999999999999996</v>
      </c>
      <c r="G26" s="97">
        <v>14.3</v>
      </c>
      <c r="H26" s="97">
        <v>11.6</v>
      </c>
      <c r="I26" s="97">
        <v>7.2</v>
      </c>
      <c r="J26" s="97">
        <v>5.9</v>
      </c>
      <c r="K26" s="97">
        <v>14.3</v>
      </c>
      <c r="L26" s="97">
        <v>11.6</v>
      </c>
      <c r="M26" s="97">
        <v>8.3000000000000007</v>
      </c>
      <c r="N26" s="97">
        <v>10.7</v>
      </c>
      <c r="O26" s="97">
        <v>7.2</v>
      </c>
    </row>
    <row r="27" spans="3:15" ht="18" customHeight="1">
      <c r="C27" s="147">
        <v>28</v>
      </c>
      <c r="D27" s="97">
        <v>9.6</v>
      </c>
      <c r="E27" s="97">
        <v>7.2</v>
      </c>
      <c r="F27" s="97">
        <v>4.8</v>
      </c>
      <c r="G27" s="97">
        <v>16.600000000000001</v>
      </c>
      <c r="H27" s="97">
        <v>13.5</v>
      </c>
      <c r="I27" s="97">
        <v>8.3000000000000007</v>
      </c>
      <c r="J27" s="97">
        <v>6.8</v>
      </c>
      <c r="K27" s="97">
        <v>16.600000000000001</v>
      </c>
      <c r="L27" s="97">
        <v>13.5</v>
      </c>
      <c r="M27" s="97">
        <v>9.6</v>
      </c>
      <c r="N27" s="97">
        <v>12.4</v>
      </c>
      <c r="O27" s="97">
        <v>8.3000000000000007</v>
      </c>
    </row>
    <row r="28" spans="3:15" ht="18" customHeight="1">
      <c r="C28" s="147">
        <v>32</v>
      </c>
      <c r="D28" s="97">
        <v>12.5</v>
      </c>
      <c r="E28" s="97">
        <v>9.4</v>
      </c>
      <c r="F28" s="97">
        <v>6.3</v>
      </c>
      <c r="G28" s="97">
        <v>22</v>
      </c>
      <c r="H28" s="97">
        <v>17.600000000000001</v>
      </c>
      <c r="I28" s="97">
        <v>10.9</v>
      </c>
      <c r="J28" s="97">
        <v>8.9</v>
      </c>
      <c r="K28" s="97">
        <v>22</v>
      </c>
      <c r="L28" s="97">
        <v>17.600000000000001</v>
      </c>
      <c r="M28" s="97">
        <v>12.5</v>
      </c>
      <c r="N28" s="97">
        <v>16.3</v>
      </c>
      <c r="O28" s="97">
        <v>10.9</v>
      </c>
    </row>
    <row r="29" spans="3:15" ht="18" customHeight="1">
      <c r="C29" s="147">
        <v>36</v>
      </c>
      <c r="D29" s="97">
        <v>15.8</v>
      </c>
      <c r="E29" s="97">
        <v>11.9</v>
      </c>
      <c r="F29" s="97">
        <v>7.9</v>
      </c>
      <c r="G29" s="97">
        <v>27</v>
      </c>
      <c r="H29" s="97">
        <v>22</v>
      </c>
      <c r="I29" s="97">
        <v>13.8</v>
      </c>
      <c r="J29" s="97">
        <v>11.2</v>
      </c>
      <c r="K29" s="97">
        <v>27</v>
      </c>
      <c r="L29" s="97">
        <v>22</v>
      </c>
      <c r="M29" s="97">
        <v>15.8</v>
      </c>
      <c r="N29" s="97">
        <v>21</v>
      </c>
      <c r="O29" s="97">
        <v>13.8</v>
      </c>
    </row>
    <row r="30" spans="3:15" ht="18" customHeight="1">
      <c r="C30" s="147">
        <v>40</v>
      </c>
      <c r="D30" s="97">
        <v>19.600000000000001</v>
      </c>
      <c r="E30" s="97">
        <v>14.7</v>
      </c>
      <c r="F30" s="97">
        <v>9.8000000000000007</v>
      </c>
      <c r="G30" s="97">
        <v>34</v>
      </c>
      <c r="H30" s="97">
        <v>28</v>
      </c>
      <c r="I30" s="97">
        <v>17</v>
      </c>
      <c r="J30" s="97">
        <v>13.9</v>
      </c>
      <c r="K30" s="97">
        <v>34</v>
      </c>
      <c r="L30" s="97">
        <v>28</v>
      </c>
      <c r="M30" s="97">
        <v>19.600000000000001</v>
      </c>
      <c r="N30" s="97">
        <v>25</v>
      </c>
      <c r="O30" s="97">
        <v>17</v>
      </c>
    </row>
    <row r="31" spans="3:15" ht="18" customHeight="1">
      <c r="C31" s="147">
        <v>44</v>
      </c>
      <c r="D31" s="97">
        <v>24</v>
      </c>
      <c r="E31" s="97">
        <v>17.7</v>
      </c>
      <c r="F31" s="97">
        <v>11.8</v>
      </c>
      <c r="G31" s="97">
        <v>41</v>
      </c>
      <c r="H31" s="97">
        <v>33</v>
      </c>
      <c r="I31" s="97">
        <v>21</v>
      </c>
      <c r="J31" s="97">
        <v>16.8</v>
      </c>
      <c r="K31" s="97">
        <v>41</v>
      </c>
      <c r="L31" s="97">
        <v>33</v>
      </c>
      <c r="M31" s="97">
        <v>24</v>
      </c>
      <c r="N31" s="97">
        <v>31</v>
      </c>
      <c r="O31" s="97">
        <v>21</v>
      </c>
    </row>
    <row r="32" spans="3:15" ht="18" customHeight="1">
      <c r="C32" s="147">
        <v>48</v>
      </c>
      <c r="D32" s="97">
        <v>28</v>
      </c>
      <c r="E32" s="97">
        <v>21</v>
      </c>
      <c r="F32" s="97">
        <v>14</v>
      </c>
      <c r="G32" s="97">
        <v>49</v>
      </c>
      <c r="H32" s="97">
        <v>40</v>
      </c>
      <c r="I32" s="97">
        <v>24</v>
      </c>
      <c r="J32" s="97">
        <v>19.899999999999999</v>
      </c>
      <c r="K32" s="97">
        <v>49</v>
      </c>
      <c r="L32" s="97">
        <v>40</v>
      </c>
      <c r="M32" s="97">
        <v>28</v>
      </c>
      <c r="N32" s="97">
        <v>37</v>
      </c>
      <c r="O32" s="97">
        <v>24</v>
      </c>
    </row>
    <row r="33" spans="2:15" ht="18" customHeight="1">
      <c r="C33" s="147">
        <v>52</v>
      </c>
      <c r="D33" s="97">
        <v>33</v>
      </c>
      <c r="E33" s="97">
        <v>25</v>
      </c>
      <c r="F33" s="97">
        <v>16.600000000000001</v>
      </c>
      <c r="G33" s="97">
        <v>57</v>
      </c>
      <c r="H33" s="97">
        <v>47</v>
      </c>
      <c r="I33" s="97">
        <v>29</v>
      </c>
      <c r="J33" s="97">
        <v>24</v>
      </c>
      <c r="K33" s="97">
        <v>57</v>
      </c>
      <c r="L33" s="97">
        <v>47</v>
      </c>
      <c r="M33" s="97">
        <v>33</v>
      </c>
      <c r="N33" s="97">
        <v>43</v>
      </c>
      <c r="O33" s="97">
        <v>29</v>
      </c>
    </row>
    <row r="34" spans="2:15" ht="18" customHeight="1">
      <c r="C34" s="147">
        <v>56</v>
      </c>
      <c r="D34" s="97">
        <v>38</v>
      </c>
      <c r="E34" s="97">
        <v>29</v>
      </c>
      <c r="F34" s="97">
        <v>19.2</v>
      </c>
      <c r="G34" s="97">
        <v>66</v>
      </c>
      <c r="H34" s="97">
        <v>54</v>
      </c>
      <c r="I34" s="97">
        <v>33</v>
      </c>
      <c r="J34" s="97">
        <v>27</v>
      </c>
      <c r="K34" s="97">
        <v>66</v>
      </c>
      <c r="L34" s="97">
        <v>54</v>
      </c>
      <c r="M34" s="97">
        <v>38</v>
      </c>
      <c r="N34" s="97">
        <v>50</v>
      </c>
      <c r="O34" s="97">
        <v>33</v>
      </c>
    </row>
    <row r="35" spans="2:15" ht="18" customHeight="1">
      <c r="C35" s="147">
        <v>58</v>
      </c>
      <c r="D35" s="97">
        <v>42</v>
      </c>
      <c r="E35" s="97">
        <v>31.5</v>
      </c>
      <c r="F35" s="97">
        <v>21</v>
      </c>
      <c r="G35" s="97">
        <v>73</v>
      </c>
      <c r="H35" s="97">
        <v>59</v>
      </c>
      <c r="I35" s="97">
        <v>36.5</v>
      </c>
      <c r="J35" s="97">
        <v>30</v>
      </c>
      <c r="K35" s="97">
        <v>73</v>
      </c>
      <c r="L35" s="97">
        <v>59</v>
      </c>
      <c r="M35" s="97">
        <v>42</v>
      </c>
      <c r="N35" s="97">
        <v>54</v>
      </c>
      <c r="O35" s="97">
        <v>36.5</v>
      </c>
    </row>
    <row r="36" spans="2:15" ht="18" customHeight="1">
      <c r="C36" s="147">
        <v>64</v>
      </c>
      <c r="D36" s="97">
        <v>52</v>
      </c>
      <c r="E36" s="97">
        <v>39</v>
      </c>
      <c r="F36" s="97">
        <v>26</v>
      </c>
      <c r="G36" s="97">
        <v>90</v>
      </c>
      <c r="H36" s="97">
        <v>73</v>
      </c>
      <c r="I36" s="97">
        <v>45</v>
      </c>
      <c r="J36" s="97">
        <v>37</v>
      </c>
      <c r="K36" s="97">
        <v>90</v>
      </c>
      <c r="L36" s="97">
        <v>73</v>
      </c>
      <c r="M36" s="97">
        <v>52</v>
      </c>
      <c r="N36" s="97">
        <v>67</v>
      </c>
      <c r="O36" s="97">
        <v>45</v>
      </c>
    </row>
    <row r="37" spans="2:15" ht="18" customHeight="1">
      <c r="C37" s="147">
        <v>75</v>
      </c>
      <c r="D37" s="97">
        <v>70</v>
      </c>
      <c r="E37" s="97">
        <v>52.5</v>
      </c>
      <c r="F37" s="97">
        <v>35</v>
      </c>
      <c r="G37" s="97">
        <v>121</v>
      </c>
      <c r="H37" s="97">
        <v>99</v>
      </c>
      <c r="I37" s="97">
        <v>61</v>
      </c>
      <c r="J37" s="97">
        <v>50</v>
      </c>
      <c r="K37" s="97">
        <v>121</v>
      </c>
      <c r="L37" s="97">
        <v>99</v>
      </c>
      <c r="M37" s="97">
        <v>70</v>
      </c>
      <c r="N37" s="97">
        <v>91</v>
      </c>
      <c r="O37" s="97">
        <v>61</v>
      </c>
    </row>
    <row r="38" spans="2:15" ht="18" customHeight="1"/>
    <row r="39" spans="2:15" ht="15">
      <c r="B39" s="572" t="s">
        <v>809</v>
      </c>
    </row>
    <row r="40" spans="2:15" ht="15">
      <c r="B40" s="572" t="s">
        <v>810</v>
      </c>
    </row>
    <row r="41" spans="2:15" ht="15">
      <c r="B41" s="572" t="s">
        <v>811</v>
      </c>
    </row>
    <row r="42" spans="2:15" ht="15">
      <c r="B42" s="573" t="s">
        <v>812</v>
      </c>
    </row>
    <row r="43" spans="2:15" ht="15">
      <c r="B43" s="573" t="s">
        <v>813</v>
      </c>
    </row>
  </sheetData>
  <sheetProtection sheet="1" objects="1" scenarios="1" selectLockedCells="1"/>
  <mergeCells count="14">
    <mergeCell ref="O5:O9"/>
    <mergeCell ref="G10:H10"/>
    <mergeCell ref="I10:J10"/>
    <mergeCell ref="K10:M10"/>
    <mergeCell ref="B2:E2"/>
    <mergeCell ref="D4:J4"/>
    <mergeCell ref="K4:O4"/>
    <mergeCell ref="D5:D9"/>
    <mergeCell ref="E5:E9"/>
    <mergeCell ref="F5:F9"/>
    <mergeCell ref="G5:H9"/>
    <mergeCell ref="I5:J9"/>
    <mergeCell ref="K5:M9"/>
    <mergeCell ref="N5:N9"/>
  </mergeCells>
  <hyperlinks>
    <hyperlink ref="N2" location="Home!A1" display="Home" xr:uid="{28199159-8402-4763-90BD-E397D2747064}"/>
    <hyperlink ref="B42" r:id="rId1" xr:uid="{D7C6C278-DA50-436E-A656-4C5768683D59}"/>
    <hyperlink ref="B43" r:id="rId2" xr:uid="{927293A6-8288-44EE-8D88-CEED1AB33A97}"/>
  </hyperlinks>
  <pageMargins left="0.25" right="0.25" top="0.75" bottom="0.75" header="0.3" footer="0.3"/>
  <pageSetup paperSize="9" scale="72" orientation="landscape" horizontalDpi="300" verticalDpi="300" r:id="rId3"/>
  <ignoredErrors>
    <ignoredError sqref="D12:O12" numberStoredAsText="1"/>
  </ignoredError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3656D-D74A-4091-AF97-E1F2EE0D40E3}">
  <sheetPr codeName="Sheet20">
    <pageSetUpPr fitToPage="1"/>
  </sheetPr>
  <dimension ref="B1:P42"/>
  <sheetViews>
    <sheetView showGridLines="0" showRowColHeaders="0" zoomScale="90" zoomScaleNormal="90" workbookViewId="0">
      <selection activeCell="N13" sqref="N13"/>
      <extLst>
        <ext xmlns:xlsdti="http://schemas.microsoft.com/office/spreadsheetml/2023/showDataTypeIcons" uri="{77bfe23e-c014-4d31-8a63-9c772dbf06b6}">
          <xlsdti:showDataTypeIcons visible="0"/>
        </ext>
      </extLst>
    </sheetView>
  </sheetViews>
  <sheetFormatPr defaultRowHeight="12"/>
  <cols>
    <col min="1" max="1" width="5.7109375" style="175" customWidth="1"/>
    <col min="2" max="2" width="6.7109375" style="175" customWidth="1"/>
    <col min="3" max="3" width="15.5703125" style="88" bestFit="1" customWidth="1"/>
    <col min="4" max="15" width="10.28515625" style="88" customWidth="1"/>
    <col min="16" max="16384" width="9.140625" style="175"/>
  </cols>
  <sheetData>
    <row r="1" spans="2:16" ht="18" customHeight="1"/>
    <row r="2" spans="2:16" ht="18" customHeight="1">
      <c r="B2" s="164" t="s">
        <v>528</v>
      </c>
      <c r="C2" s="164"/>
      <c r="D2" s="164"/>
      <c r="E2" s="164"/>
      <c r="F2" s="174" t="s">
        <v>517</v>
      </c>
      <c r="N2" s="592" t="s">
        <v>298</v>
      </c>
    </row>
    <row r="3" spans="2:16" ht="18" customHeight="1"/>
    <row r="4" spans="2:16" ht="18" customHeight="1">
      <c r="D4" s="104" t="s">
        <v>351</v>
      </c>
      <c r="E4" s="104"/>
      <c r="F4" s="104"/>
      <c r="G4" s="104"/>
      <c r="H4" s="104"/>
      <c r="I4" s="104"/>
      <c r="J4" s="104"/>
      <c r="K4" s="104" t="s">
        <v>400</v>
      </c>
      <c r="L4" s="104"/>
      <c r="M4" s="104"/>
      <c r="N4" s="104"/>
      <c r="O4" s="104"/>
    </row>
    <row r="5" spans="2:16" ht="18" customHeight="1">
      <c r="D5" s="96"/>
      <c r="E5" s="96"/>
      <c r="F5" s="96"/>
      <c r="G5" s="96"/>
      <c r="H5" s="96"/>
      <c r="I5" s="96"/>
      <c r="J5" s="96"/>
      <c r="K5" s="96"/>
      <c r="L5" s="96"/>
      <c r="M5" s="96"/>
      <c r="N5" s="96"/>
      <c r="O5" s="96"/>
    </row>
    <row r="6" spans="2:16" ht="18" customHeight="1">
      <c r="D6" s="96"/>
      <c r="E6" s="96"/>
      <c r="F6" s="96"/>
      <c r="G6" s="96"/>
      <c r="H6" s="96"/>
      <c r="I6" s="96"/>
      <c r="J6" s="96"/>
      <c r="K6" s="96"/>
      <c r="L6" s="96"/>
      <c r="M6" s="96"/>
      <c r="N6" s="96"/>
      <c r="O6" s="96"/>
    </row>
    <row r="7" spans="2:16" ht="18" customHeight="1">
      <c r="D7" s="96"/>
      <c r="E7" s="96"/>
      <c r="F7" s="96"/>
      <c r="G7" s="96"/>
      <c r="H7" s="96"/>
      <c r="I7" s="96"/>
      <c r="J7" s="96"/>
      <c r="K7" s="96"/>
      <c r="L7" s="96"/>
      <c r="M7" s="96"/>
      <c r="N7" s="96"/>
      <c r="O7" s="96"/>
    </row>
    <row r="8" spans="2:16" ht="18" customHeight="1">
      <c r="D8" s="96"/>
      <c r="E8" s="96"/>
      <c r="F8" s="96"/>
      <c r="G8" s="96"/>
      <c r="H8" s="96"/>
      <c r="I8" s="96"/>
      <c r="J8" s="96"/>
      <c r="K8" s="96"/>
      <c r="L8" s="96"/>
      <c r="M8" s="96"/>
      <c r="N8" s="96"/>
      <c r="O8" s="96"/>
    </row>
    <row r="9" spans="2:16" ht="18" customHeight="1">
      <c r="D9" s="96"/>
      <c r="E9" s="96"/>
      <c r="F9" s="96"/>
      <c r="G9" s="96"/>
      <c r="H9" s="96"/>
      <c r="I9" s="96"/>
      <c r="J9" s="96"/>
      <c r="K9" s="96"/>
      <c r="L9" s="96"/>
      <c r="M9" s="96"/>
      <c r="N9" s="96"/>
      <c r="O9" s="96"/>
    </row>
    <row r="10" spans="2:16" ht="51" customHeight="1">
      <c r="D10" s="108" t="s">
        <v>357</v>
      </c>
      <c r="E10" s="108" t="s">
        <v>364</v>
      </c>
      <c r="F10" s="108" t="s">
        <v>370</v>
      </c>
      <c r="G10" s="109" t="s">
        <v>404</v>
      </c>
      <c r="H10" s="109"/>
      <c r="I10" s="109" t="s">
        <v>405</v>
      </c>
      <c r="J10" s="109"/>
      <c r="K10" s="109" t="s">
        <v>357</v>
      </c>
      <c r="L10" s="109"/>
      <c r="M10" s="109"/>
      <c r="N10" s="108" t="s">
        <v>364</v>
      </c>
      <c r="O10" s="108" t="s">
        <v>370</v>
      </c>
    </row>
    <row r="11" spans="2:16" ht="18" customHeight="1">
      <c r="C11" s="147" t="s">
        <v>406</v>
      </c>
      <c r="D11" s="97" t="s">
        <v>119</v>
      </c>
      <c r="E11" s="97" t="s">
        <v>119</v>
      </c>
      <c r="F11" s="97" t="s">
        <v>119</v>
      </c>
      <c r="G11" s="97" t="s">
        <v>394</v>
      </c>
      <c r="H11" s="97" t="s">
        <v>395</v>
      </c>
      <c r="I11" s="97" t="s">
        <v>394</v>
      </c>
      <c r="J11" s="97" t="s">
        <v>395</v>
      </c>
      <c r="K11" s="97" t="s">
        <v>407</v>
      </c>
      <c r="L11" s="97" t="s">
        <v>395</v>
      </c>
      <c r="M11" s="97" t="s">
        <v>396</v>
      </c>
      <c r="N11" s="97" t="s">
        <v>408</v>
      </c>
      <c r="O11" s="97" t="s">
        <v>408</v>
      </c>
    </row>
    <row r="12" spans="2:16" ht="18" customHeight="1">
      <c r="C12" s="147" t="s">
        <v>518</v>
      </c>
      <c r="D12" s="97" t="s">
        <v>519</v>
      </c>
      <c r="E12" s="97" t="s">
        <v>520</v>
      </c>
      <c r="F12" s="97" t="s">
        <v>521</v>
      </c>
      <c r="G12" s="97" t="s">
        <v>522</v>
      </c>
      <c r="H12" s="97" t="s">
        <v>523</v>
      </c>
      <c r="I12" s="97" t="s">
        <v>524</v>
      </c>
      <c r="J12" s="97" t="s">
        <v>525</v>
      </c>
      <c r="K12" s="97" t="s">
        <v>522</v>
      </c>
      <c r="L12" s="97" t="s">
        <v>523</v>
      </c>
      <c r="M12" s="97" t="s">
        <v>519</v>
      </c>
      <c r="N12" s="97" t="s">
        <v>526</v>
      </c>
      <c r="O12" s="97" t="s">
        <v>524</v>
      </c>
    </row>
    <row r="13" spans="2:16" ht="18" customHeight="1">
      <c r="C13" s="176" t="s">
        <v>527</v>
      </c>
      <c r="I13" s="181" t="s">
        <v>691</v>
      </c>
      <c r="P13" s="182"/>
    </row>
    <row r="14" spans="2:16" ht="18" customHeight="1">
      <c r="C14" s="147">
        <v>8</v>
      </c>
      <c r="D14" s="97">
        <v>0.87</v>
      </c>
      <c r="E14" s="97">
        <v>0.65</v>
      </c>
      <c r="F14" s="97">
        <v>0.43</v>
      </c>
      <c r="G14" s="97">
        <v>1.5</v>
      </c>
      <c r="H14" s="97">
        <v>1.22</v>
      </c>
      <c r="I14" s="97">
        <v>0.75</v>
      </c>
      <c r="J14" s="97">
        <v>0.61</v>
      </c>
      <c r="K14" s="97">
        <v>1.5</v>
      </c>
      <c r="L14" s="97">
        <v>1.22</v>
      </c>
      <c r="M14" s="97">
        <v>0.87</v>
      </c>
      <c r="N14" s="97">
        <v>1.1299999999999999</v>
      </c>
      <c r="O14" s="97">
        <v>0.75</v>
      </c>
    </row>
    <row r="15" spans="2:16" ht="18" customHeight="1">
      <c r="C15" s="147">
        <v>9</v>
      </c>
      <c r="D15" s="97">
        <v>1.0900000000000001</v>
      </c>
      <c r="E15" s="97">
        <v>0.82</v>
      </c>
      <c r="F15" s="97">
        <v>0.55000000000000004</v>
      </c>
      <c r="G15" s="97">
        <v>1.89</v>
      </c>
      <c r="H15" s="97">
        <v>1.54</v>
      </c>
      <c r="I15" s="97">
        <v>0.95</v>
      </c>
      <c r="J15" s="97">
        <v>0.78</v>
      </c>
      <c r="K15" s="97">
        <v>1.89</v>
      </c>
      <c r="L15" s="97">
        <v>1.54</v>
      </c>
      <c r="M15" s="97">
        <v>1.0900000000000001</v>
      </c>
      <c r="N15" s="97">
        <v>1.42</v>
      </c>
      <c r="O15" s="97">
        <v>0.95</v>
      </c>
    </row>
    <row r="16" spans="2:16" ht="18" customHeight="1">
      <c r="C16" s="147">
        <v>10</v>
      </c>
      <c r="D16" s="97">
        <v>1.35</v>
      </c>
      <c r="E16" s="97">
        <v>1.01</v>
      </c>
      <c r="F16" s="97">
        <v>0.68</v>
      </c>
      <c r="G16" s="97">
        <v>2.2999999999999998</v>
      </c>
      <c r="H16" s="97">
        <v>1.91</v>
      </c>
      <c r="I16" s="97">
        <v>1.18</v>
      </c>
      <c r="J16" s="97">
        <v>0.96</v>
      </c>
      <c r="K16" s="97">
        <v>2.2999999999999998</v>
      </c>
      <c r="L16" s="97">
        <v>1.91</v>
      </c>
      <c r="M16" s="97">
        <v>1.35</v>
      </c>
      <c r="N16" s="97">
        <v>1.76</v>
      </c>
      <c r="O16" s="97">
        <v>1.18</v>
      </c>
    </row>
    <row r="17" spans="3:15" ht="18" customHeight="1">
      <c r="C17" s="147">
        <v>11</v>
      </c>
      <c r="D17" s="97">
        <v>1.63</v>
      </c>
      <c r="E17" s="97">
        <v>1.23</v>
      </c>
      <c r="F17" s="97">
        <v>0.82</v>
      </c>
      <c r="G17" s="97">
        <v>2.8</v>
      </c>
      <c r="H17" s="97">
        <v>2.2999999999999998</v>
      </c>
      <c r="I17" s="97">
        <v>1.42</v>
      </c>
      <c r="J17" s="97">
        <v>1.1599999999999999</v>
      </c>
      <c r="K17" s="97">
        <v>2.8</v>
      </c>
      <c r="L17" s="97">
        <v>2.2999999999999998</v>
      </c>
      <c r="M17" s="97">
        <v>1.63</v>
      </c>
      <c r="N17" s="97">
        <v>2.1</v>
      </c>
      <c r="O17" s="97">
        <v>1.42</v>
      </c>
    </row>
    <row r="18" spans="3:15" ht="18" customHeight="1">
      <c r="C18" s="147">
        <v>12</v>
      </c>
      <c r="D18" s="97">
        <v>1.94</v>
      </c>
      <c r="E18" s="97">
        <v>1.45</v>
      </c>
      <c r="F18" s="97">
        <v>0.97</v>
      </c>
      <c r="G18" s="97">
        <v>3.3</v>
      </c>
      <c r="H18" s="97">
        <v>2.7</v>
      </c>
      <c r="I18" s="97">
        <v>1.69</v>
      </c>
      <c r="J18" s="97">
        <v>1.38</v>
      </c>
      <c r="K18" s="97">
        <v>3.3</v>
      </c>
      <c r="L18" s="97">
        <v>2.7</v>
      </c>
      <c r="M18" s="97">
        <v>1.94</v>
      </c>
      <c r="N18" s="97">
        <v>2.5</v>
      </c>
      <c r="O18" s="97">
        <v>1.69</v>
      </c>
    </row>
    <row r="19" spans="3:15" ht="18" customHeight="1">
      <c r="C19" s="147">
        <v>13</v>
      </c>
      <c r="D19" s="97">
        <v>2.2000000000000002</v>
      </c>
      <c r="E19" s="97">
        <v>1.71</v>
      </c>
      <c r="F19" s="97">
        <v>1.1399999999999999</v>
      </c>
      <c r="G19" s="97">
        <v>3.9</v>
      </c>
      <c r="H19" s="97">
        <v>3.2</v>
      </c>
      <c r="I19" s="97">
        <v>1.99</v>
      </c>
      <c r="J19" s="97">
        <v>1.62</v>
      </c>
      <c r="K19" s="97">
        <v>3.9</v>
      </c>
      <c r="L19" s="97">
        <v>3.2</v>
      </c>
      <c r="M19" s="97">
        <v>2.2000000000000002</v>
      </c>
      <c r="N19" s="97">
        <v>2.9</v>
      </c>
      <c r="O19" s="97">
        <v>1.99</v>
      </c>
    </row>
    <row r="20" spans="3:15" ht="18" customHeight="1">
      <c r="C20" s="147">
        <v>14</v>
      </c>
      <c r="D20" s="97">
        <v>2.6</v>
      </c>
      <c r="E20" s="97">
        <v>1.99</v>
      </c>
      <c r="F20" s="97">
        <v>1.33</v>
      </c>
      <c r="G20" s="97">
        <v>4.5</v>
      </c>
      <c r="H20" s="97">
        <v>3.7</v>
      </c>
      <c r="I20" s="97">
        <v>2.2999999999999998</v>
      </c>
      <c r="J20" s="97">
        <v>1.88</v>
      </c>
      <c r="K20" s="97">
        <v>4.5</v>
      </c>
      <c r="L20" s="97">
        <v>3.7</v>
      </c>
      <c r="M20" s="97">
        <v>2.6</v>
      </c>
      <c r="N20" s="97">
        <v>3.4</v>
      </c>
      <c r="O20" s="97">
        <v>2.2999999999999998</v>
      </c>
    </row>
    <row r="21" spans="3:15" ht="18" customHeight="1">
      <c r="C21" s="147">
        <v>16</v>
      </c>
      <c r="D21" s="97">
        <v>3.4</v>
      </c>
      <c r="E21" s="97">
        <v>2.6</v>
      </c>
      <c r="F21" s="97">
        <v>1.73</v>
      </c>
      <c r="G21" s="97">
        <v>6</v>
      </c>
      <c r="H21" s="97">
        <v>4.8</v>
      </c>
      <c r="I21" s="97">
        <v>3</v>
      </c>
      <c r="J21" s="97">
        <v>2.4</v>
      </c>
      <c r="K21" s="97">
        <v>6</v>
      </c>
      <c r="L21" s="97">
        <v>4.8</v>
      </c>
      <c r="M21" s="97">
        <v>3.4</v>
      </c>
      <c r="N21" s="97">
        <v>4.5</v>
      </c>
      <c r="O21" s="97">
        <v>3</v>
      </c>
    </row>
    <row r="22" spans="3:15" ht="18" customHeight="1">
      <c r="C22" s="147">
        <v>18</v>
      </c>
      <c r="D22" s="97">
        <v>4.3</v>
      </c>
      <c r="E22" s="97">
        <v>3.2</v>
      </c>
      <c r="F22" s="97">
        <v>2.1</v>
      </c>
      <c r="G22" s="97">
        <v>7.5</v>
      </c>
      <c r="H22" s="97">
        <v>6.1</v>
      </c>
      <c r="I22" s="97">
        <v>3.8</v>
      </c>
      <c r="J22" s="97">
        <v>3.1</v>
      </c>
      <c r="K22" s="97">
        <v>7.5</v>
      </c>
      <c r="L22" s="97">
        <v>6.1</v>
      </c>
      <c r="M22" s="97">
        <v>4.3</v>
      </c>
      <c r="N22" s="97">
        <v>5.6</v>
      </c>
      <c r="O22" s="97">
        <v>3.8</v>
      </c>
    </row>
    <row r="23" spans="3:15" ht="18" customHeight="1">
      <c r="C23" s="147">
        <v>20</v>
      </c>
      <c r="D23" s="97">
        <v>5.4</v>
      </c>
      <c r="E23" s="97">
        <v>4</v>
      </c>
      <c r="F23" s="97">
        <v>2.7</v>
      </c>
      <c r="G23" s="97">
        <v>9.3000000000000007</v>
      </c>
      <c r="H23" s="97">
        <v>7.6</v>
      </c>
      <c r="I23" s="97">
        <v>4.7</v>
      </c>
      <c r="J23" s="97">
        <v>3.8</v>
      </c>
      <c r="K23" s="97">
        <v>9.3000000000000007</v>
      </c>
      <c r="L23" s="97">
        <v>7.6</v>
      </c>
      <c r="M23" s="97">
        <v>5.4</v>
      </c>
      <c r="N23" s="97">
        <v>7</v>
      </c>
      <c r="O23" s="97">
        <v>4.7</v>
      </c>
    </row>
    <row r="24" spans="3:15" ht="18" customHeight="1">
      <c r="C24" s="147">
        <v>22</v>
      </c>
      <c r="D24" s="97">
        <v>6.5</v>
      </c>
      <c r="E24" s="97">
        <v>4.9000000000000004</v>
      </c>
      <c r="F24" s="97">
        <v>3.2</v>
      </c>
      <c r="G24" s="97">
        <v>11.3</v>
      </c>
      <c r="H24" s="97">
        <v>9.1999999999999993</v>
      </c>
      <c r="I24" s="97">
        <v>5.7</v>
      </c>
      <c r="J24" s="97">
        <v>4.5999999999999996</v>
      </c>
      <c r="K24" s="97">
        <v>11.3</v>
      </c>
      <c r="L24" s="97">
        <v>9.1999999999999993</v>
      </c>
      <c r="M24" s="97">
        <v>6.5</v>
      </c>
      <c r="N24" s="97">
        <v>8.5</v>
      </c>
      <c r="O24" s="97">
        <v>5.7</v>
      </c>
    </row>
    <row r="25" spans="3:15" ht="18" customHeight="1">
      <c r="C25" s="147">
        <v>24</v>
      </c>
      <c r="D25" s="97">
        <v>7.7</v>
      </c>
      <c r="E25" s="97">
        <v>5.8</v>
      </c>
      <c r="F25" s="97">
        <v>3.8</v>
      </c>
      <c r="G25" s="97">
        <v>13.4</v>
      </c>
      <c r="H25" s="97">
        <v>10.9</v>
      </c>
      <c r="I25" s="97">
        <v>6.7</v>
      </c>
      <c r="J25" s="97">
        <v>5.5</v>
      </c>
      <c r="K25" s="97">
        <v>13.4</v>
      </c>
      <c r="L25" s="97">
        <v>10.9</v>
      </c>
      <c r="M25" s="97">
        <v>7.7</v>
      </c>
      <c r="N25" s="97">
        <v>10.1</v>
      </c>
      <c r="O25" s="97">
        <v>6.7</v>
      </c>
    </row>
    <row r="26" spans="3:15" ht="18" customHeight="1">
      <c r="C26" s="147">
        <v>26</v>
      </c>
      <c r="D26" s="97">
        <v>9.1</v>
      </c>
      <c r="E26" s="97">
        <v>6.8</v>
      </c>
      <c r="F26" s="97">
        <v>4.5</v>
      </c>
      <c r="G26" s="97">
        <v>15.8</v>
      </c>
      <c r="H26" s="97">
        <v>12.8</v>
      </c>
      <c r="I26" s="97">
        <v>7.9</v>
      </c>
      <c r="J26" s="97">
        <v>6.4</v>
      </c>
      <c r="K26" s="97">
        <v>15.8</v>
      </c>
      <c r="L26" s="97">
        <v>12.8</v>
      </c>
      <c r="M26" s="97">
        <v>9.1</v>
      </c>
      <c r="N26" s="97">
        <v>11.8</v>
      </c>
      <c r="O26" s="97">
        <v>7.9</v>
      </c>
    </row>
    <row r="27" spans="3:15" ht="18" customHeight="1">
      <c r="C27" s="147">
        <v>28</v>
      </c>
      <c r="D27" s="97">
        <v>10.5</v>
      </c>
      <c r="E27" s="97">
        <v>7.9</v>
      </c>
      <c r="F27" s="97">
        <v>5.3</v>
      </c>
      <c r="G27" s="97">
        <v>18.3</v>
      </c>
      <c r="H27" s="97">
        <v>14.9</v>
      </c>
      <c r="I27" s="97">
        <v>9.1999999999999993</v>
      </c>
      <c r="J27" s="97">
        <v>7.5</v>
      </c>
      <c r="K27" s="97">
        <v>18.3</v>
      </c>
      <c r="L27" s="97">
        <v>14.9</v>
      </c>
      <c r="M27" s="97">
        <v>10.5</v>
      </c>
      <c r="N27" s="97">
        <v>13.7</v>
      </c>
      <c r="O27" s="97">
        <v>9.1999999999999993</v>
      </c>
    </row>
    <row r="28" spans="3:15" ht="18" customHeight="1">
      <c r="C28" s="147">
        <v>32</v>
      </c>
      <c r="D28" s="97">
        <v>13.8</v>
      </c>
      <c r="E28" s="97">
        <v>10.3</v>
      </c>
      <c r="F28" s="97">
        <v>6.9</v>
      </c>
      <c r="G28" s="97">
        <v>23.9</v>
      </c>
      <c r="H28" s="97">
        <v>19.5</v>
      </c>
      <c r="I28" s="97">
        <v>12</v>
      </c>
      <c r="J28" s="97">
        <v>9.8000000000000007</v>
      </c>
      <c r="K28" s="97">
        <v>23.9</v>
      </c>
      <c r="L28" s="97">
        <v>19.5</v>
      </c>
      <c r="M28" s="97">
        <v>13.8</v>
      </c>
      <c r="N28" s="97">
        <v>18</v>
      </c>
      <c r="O28" s="97">
        <v>12</v>
      </c>
    </row>
    <row r="29" spans="3:15" ht="18" customHeight="1">
      <c r="C29" s="147">
        <v>36</v>
      </c>
      <c r="D29" s="97">
        <v>17.5</v>
      </c>
      <c r="E29" s="97">
        <v>13.1</v>
      </c>
      <c r="F29" s="97">
        <v>8.6999999999999993</v>
      </c>
      <c r="G29" s="97">
        <v>30.2</v>
      </c>
      <c r="H29" s="97">
        <v>24.6</v>
      </c>
      <c r="I29" s="97">
        <v>15.2</v>
      </c>
      <c r="J29" s="97">
        <v>12.4</v>
      </c>
      <c r="K29" s="97">
        <v>30.2</v>
      </c>
      <c r="L29" s="97">
        <v>24.6</v>
      </c>
      <c r="M29" s="97">
        <v>17.5</v>
      </c>
      <c r="N29" s="97">
        <v>22.7</v>
      </c>
      <c r="O29" s="97">
        <v>15.2</v>
      </c>
    </row>
    <row r="30" spans="3:15" ht="18" customHeight="1">
      <c r="C30" s="147">
        <v>40</v>
      </c>
      <c r="D30" s="97">
        <v>21.6</v>
      </c>
      <c r="E30" s="97">
        <v>16.2</v>
      </c>
      <c r="F30" s="97">
        <v>10.8</v>
      </c>
      <c r="G30" s="97">
        <v>37.5</v>
      </c>
      <c r="H30" s="97">
        <v>30.5</v>
      </c>
      <c r="I30" s="97">
        <v>18.8</v>
      </c>
      <c r="J30" s="97">
        <v>15.4</v>
      </c>
      <c r="K30" s="97">
        <v>37.5</v>
      </c>
      <c r="L30" s="97">
        <v>30.5</v>
      </c>
      <c r="M30" s="97">
        <v>21.6</v>
      </c>
      <c r="N30" s="97">
        <v>28.2</v>
      </c>
      <c r="O30" s="97">
        <v>18.8</v>
      </c>
    </row>
    <row r="31" spans="3:15" ht="18" customHeight="1">
      <c r="C31" s="147">
        <v>44</v>
      </c>
      <c r="D31" s="97">
        <v>26.1</v>
      </c>
      <c r="E31" s="97">
        <v>19.600000000000001</v>
      </c>
      <c r="F31" s="97">
        <v>13</v>
      </c>
      <c r="G31" s="97">
        <v>45.2</v>
      </c>
      <c r="H31" s="97">
        <v>36.799999999999997</v>
      </c>
      <c r="I31" s="97">
        <v>22.7</v>
      </c>
      <c r="J31" s="97">
        <v>18.5</v>
      </c>
      <c r="K31" s="97">
        <v>45.2</v>
      </c>
      <c r="L31" s="97">
        <v>36.799999999999997</v>
      </c>
      <c r="M31" s="97">
        <v>26.1</v>
      </c>
      <c r="N31" s="97">
        <v>33.9</v>
      </c>
      <c r="O31" s="97">
        <v>22.7</v>
      </c>
    </row>
    <row r="32" spans="3:15" ht="18" customHeight="1">
      <c r="C32" s="147">
        <v>48</v>
      </c>
      <c r="D32" s="97">
        <v>31.1</v>
      </c>
      <c r="E32" s="97">
        <v>23.3</v>
      </c>
      <c r="F32" s="97">
        <v>15.5</v>
      </c>
      <c r="G32" s="97">
        <v>53.9</v>
      </c>
      <c r="H32" s="97">
        <v>43.9</v>
      </c>
      <c r="I32" s="97">
        <v>27.1</v>
      </c>
      <c r="J32" s="97">
        <v>22.1</v>
      </c>
      <c r="K32" s="97">
        <v>53.9</v>
      </c>
      <c r="L32" s="97">
        <v>43.9</v>
      </c>
      <c r="M32" s="97">
        <v>31.1</v>
      </c>
      <c r="N32" s="97">
        <v>40.5</v>
      </c>
      <c r="O32" s="97">
        <v>27.1</v>
      </c>
    </row>
    <row r="33" spans="2:15" ht="18" customHeight="1">
      <c r="C33" s="147">
        <v>52</v>
      </c>
      <c r="D33" s="97">
        <v>36.6</v>
      </c>
      <c r="E33" s="97">
        <v>27.4</v>
      </c>
      <c r="F33" s="97">
        <v>18.3</v>
      </c>
      <c r="G33" s="97">
        <v>63.3</v>
      </c>
      <c r="H33" s="97">
        <v>51.6</v>
      </c>
      <c r="I33" s="97">
        <v>31.8</v>
      </c>
      <c r="J33" s="97">
        <v>25.9</v>
      </c>
      <c r="K33" s="97">
        <v>63.3</v>
      </c>
      <c r="L33" s="97">
        <v>51.6</v>
      </c>
      <c r="M33" s="97">
        <v>36.6</v>
      </c>
      <c r="N33" s="97">
        <v>47.5</v>
      </c>
      <c r="O33" s="97">
        <v>31.8</v>
      </c>
    </row>
    <row r="34" spans="2:15" ht="18" customHeight="1">
      <c r="C34" s="147">
        <v>56</v>
      </c>
      <c r="D34" s="97">
        <v>42.4</v>
      </c>
      <c r="E34" s="97">
        <v>31.8</v>
      </c>
      <c r="F34" s="97">
        <v>21.2</v>
      </c>
      <c r="G34" s="97">
        <v>73.3</v>
      </c>
      <c r="H34" s="97">
        <v>59.8</v>
      </c>
      <c r="I34" s="97">
        <v>36.9</v>
      </c>
      <c r="J34" s="97">
        <v>30.1</v>
      </c>
      <c r="K34" s="97">
        <v>73.3</v>
      </c>
      <c r="L34" s="97">
        <v>59.8</v>
      </c>
      <c r="M34" s="97">
        <v>42.4</v>
      </c>
      <c r="N34" s="97">
        <v>55.1</v>
      </c>
      <c r="O34" s="97">
        <v>36.9</v>
      </c>
    </row>
    <row r="35" spans="2:15" ht="18" customHeight="1">
      <c r="C35" s="147">
        <v>58</v>
      </c>
      <c r="D35" s="97">
        <v>47.2</v>
      </c>
      <c r="E35" s="97">
        <v>35.4</v>
      </c>
      <c r="F35" s="97">
        <v>23.6</v>
      </c>
      <c r="G35" s="97">
        <v>81.7</v>
      </c>
      <c r="H35" s="97">
        <v>66.599999999999994</v>
      </c>
      <c r="I35" s="97">
        <v>41.1</v>
      </c>
      <c r="J35" s="97">
        <v>33.5</v>
      </c>
      <c r="K35" s="97">
        <v>81.7</v>
      </c>
      <c r="L35" s="97">
        <v>66.599999999999994</v>
      </c>
      <c r="M35" s="97">
        <v>47.2</v>
      </c>
      <c r="N35" s="97">
        <v>61.4</v>
      </c>
      <c r="O35" s="97">
        <v>41.1</v>
      </c>
    </row>
    <row r="36" spans="2:15" ht="18" customHeight="1">
      <c r="C36" s="147">
        <v>60</v>
      </c>
      <c r="D36" s="97">
        <v>48.6</v>
      </c>
      <c r="E36" s="97">
        <v>36.4</v>
      </c>
      <c r="F36" s="97">
        <v>24.3</v>
      </c>
      <c r="G36" s="97">
        <v>84.1</v>
      </c>
      <c r="H36" s="97">
        <v>68.5</v>
      </c>
      <c r="I36" s="97">
        <v>42.2</v>
      </c>
      <c r="J36" s="97">
        <v>34.5</v>
      </c>
      <c r="K36" s="97">
        <v>84.1</v>
      </c>
      <c r="L36" s="97">
        <v>68.5</v>
      </c>
      <c r="M36" s="97">
        <v>48.6</v>
      </c>
      <c r="N36" s="97">
        <v>63.2</v>
      </c>
      <c r="O36" s="97">
        <v>42.2</v>
      </c>
    </row>
    <row r="37" spans="2:15" ht="18" customHeight="1"/>
    <row r="38" spans="2:15" ht="18" customHeight="1">
      <c r="B38" s="572" t="s">
        <v>809</v>
      </c>
    </row>
    <row r="39" spans="2:15" ht="15">
      <c r="B39" s="572" t="s">
        <v>810</v>
      </c>
    </row>
    <row r="40" spans="2:15" ht="15">
      <c r="B40" s="572" t="s">
        <v>811</v>
      </c>
    </row>
    <row r="41" spans="2:15" ht="15">
      <c r="B41" s="573" t="s">
        <v>812</v>
      </c>
    </row>
    <row r="42" spans="2:15" ht="15">
      <c r="B42" s="573" t="s">
        <v>813</v>
      </c>
    </row>
  </sheetData>
  <sheetProtection sheet="1" objects="1" scenarios="1" selectLockedCells="1"/>
  <mergeCells count="14">
    <mergeCell ref="O5:O9"/>
    <mergeCell ref="G10:H10"/>
    <mergeCell ref="I10:J10"/>
    <mergeCell ref="K10:M10"/>
    <mergeCell ref="B2:E2"/>
    <mergeCell ref="D4:J4"/>
    <mergeCell ref="K4:O4"/>
    <mergeCell ref="D5:D9"/>
    <mergeCell ref="E5:E9"/>
    <mergeCell ref="F5:F9"/>
    <mergeCell ref="G5:H9"/>
    <mergeCell ref="I5:J9"/>
    <mergeCell ref="K5:M9"/>
    <mergeCell ref="N5:N9"/>
  </mergeCells>
  <hyperlinks>
    <hyperlink ref="N2" location="Home!A1" display="Home" xr:uid="{A478AA79-2CC3-4DD1-B92B-F115B976EAD1}"/>
    <hyperlink ref="B41" r:id="rId1" xr:uid="{56E0AE47-95D0-4F6A-B9E3-2D22A64C7A5A}"/>
    <hyperlink ref="B42" r:id="rId2" xr:uid="{991CBB87-0F45-4E56-B686-0E2724D30D20}"/>
  </hyperlinks>
  <pageMargins left="0.25" right="0.25" top="0.75" bottom="0.75" header="0.3" footer="0.3"/>
  <pageSetup paperSize="9" scale="74" orientation="landscape" horizontalDpi="300" verticalDpi="300"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FBA76-BF2C-4BE5-9D7A-0CB247DFCA1D}">
  <sheetPr codeName="Sheet21">
    <pageSetUpPr fitToPage="1"/>
  </sheetPr>
  <dimension ref="B2:O57"/>
  <sheetViews>
    <sheetView showGridLines="0" showRowColHeaders="0" zoomScale="90" zoomScaleNormal="90" workbookViewId="0">
      <selection activeCell="N13" sqref="N13"/>
    </sheetView>
  </sheetViews>
  <sheetFormatPr defaultRowHeight="12"/>
  <cols>
    <col min="1" max="1" width="5.7109375" style="183" customWidth="1"/>
    <col min="2" max="9" width="13.7109375" style="183" customWidth="1"/>
    <col min="10" max="10" width="5.5703125" style="183" customWidth="1"/>
    <col min="11" max="11" width="9.140625" style="183"/>
    <col min="12" max="12" width="10" style="183" bestFit="1" customWidth="1"/>
    <col min="13" max="14" width="9.140625" style="183"/>
    <col min="15" max="15" width="10.7109375" style="183" bestFit="1" customWidth="1"/>
    <col min="16" max="16" width="4.42578125" style="183" customWidth="1"/>
    <col min="17" max="257" width="9.140625" style="183"/>
    <col min="258" max="258" width="2.7109375" style="183" customWidth="1"/>
    <col min="259" max="266" width="16.28515625" style="183" customWidth="1"/>
    <col min="267" max="513" width="9.140625" style="183"/>
    <col min="514" max="514" width="2.7109375" style="183" customWidth="1"/>
    <col min="515" max="522" width="16.28515625" style="183" customWidth="1"/>
    <col min="523" max="769" width="9.140625" style="183"/>
    <col min="770" max="770" width="2.7109375" style="183" customWidth="1"/>
    <col min="771" max="778" width="16.28515625" style="183" customWidth="1"/>
    <col min="779" max="1025" width="9.140625" style="183"/>
    <col min="1026" max="1026" width="2.7109375" style="183" customWidth="1"/>
    <col min="1027" max="1034" width="16.28515625" style="183" customWidth="1"/>
    <col min="1035" max="1281" width="9.140625" style="183"/>
    <col min="1282" max="1282" width="2.7109375" style="183" customWidth="1"/>
    <col min="1283" max="1290" width="16.28515625" style="183" customWidth="1"/>
    <col min="1291" max="1537" width="9.140625" style="183"/>
    <col min="1538" max="1538" width="2.7109375" style="183" customWidth="1"/>
    <col min="1539" max="1546" width="16.28515625" style="183" customWidth="1"/>
    <col min="1547" max="1793" width="9.140625" style="183"/>
    <col min="1794" max="1794" width="2.7109375" style="183" customWidth="1"/>
    <col min="1795" max="1802" width="16.28515625" style="183" customWidth="1"/>
    <col min="1803" max="2049" width="9.140625" style="183"/>
    <col min="2050" max="2050" width="2.7109375" style="183" customWidth="1"/>
    <col min="2051" max="2058" width="16.28515625" style="183" customWidth="1"/>
    <col min="2059" max="2305" width="9.140625" style="183"/>
    <col min="2306" max="2306" width="2.7109375" style="183" customWidth="1"/>
    <col min="2307" max="2314" width="16.28515625" style="183" customWidth="1"/>
    <col min="2315" max="2561" width="9.140625" style="183"/>
    <col min="2562" max="2562" width="2.7109375" style="183" customWidth="1"/>
    <col min="2563" max="2570" width="16.28515625" style="183" customWidth="1"/>
    <col min="2571" max="2817" width="9.140625" style="183"/>
    <col min="2818" max="2818" width="2.7109375" style="183" customWidth="1"/>
    <col min="2819" max="2826" width="16.28515625" style="183" customWidth="1"/>
    <col min="2827" max="3073" width="9.140625" style="183"/>
    <col min="3074" max="3074" width="2.7109375" style="183" customWidth="1"/>
    <col min="3075" max="3082" width="16.28515625" style="183" customWidth="1"/>
    <col min="3083" max="3329" width="9.140625" style="183"/>
    <col min="3330" max="3330" width="2.7109375" style="183" customWidth="1"/>
    <col min="3331" max="3338" width="16.28515625" style="183" customWidth="1"/>
    <col min="3339" max="3585" width="9.140625" style="183"/>
    <col min="3586" max="3586" width="2.7109375" style="183" customWidth="1"/>
    <col min="3587" max="3594" width="16.28515625" style="183" customWidth="1"/>
    <col min="3595" max="3841" width="9.140625" style="183"/>
    <col min="3842" max="3842" width="2.7109375" style="183" customWidth="1"/>
    <col min="3843" max="3850" width="16.28515625" style="183" customWidth="1"/>
    <col min="3851" max="4097" width="9.140625" style="183"/>
    <col min="4098" max="4098" width="2.7109375" style="183" customWidth="1"/>
    <col min="4099" max="4106" width="16.28515625" style="183" customWidth="1"/>
    <col min="4107" max="4353" width="9.140625" style="183"/>
    <col min="4354" max="4354" width="2.7109375" style="183" customWidth="1"/>
    <col min="4355" max="4362" width="16.28515625" style="183" customWidth="1"/>
    <col min="4363" max="4609" width="9.140625" style="183"/>
    <col min="4610" max="4610" width="2.7109375" style="183" customWidth="1"/>
    <col min="4611" max="4618" width="16.28515625" style="183" customWidth="1"/>
    <col min="4619" max="4865" width="9.140625" style="183"/>
    <col min="4866" max="4866" width="2.7109375" style="183" customWidth="1"/>
    <col min="4867" max="4874" width="16.28515625" style="183" customWidth="1"/>
    <col min="4875" max="5121" width="9.140625" style="183"/>
    <col min="5122" max="5122" width="2.7109375" style="183" customWidth="1"/>
    <col min="5123" max="5130" width="16.28515625" style="183" customWidth="1"/>
    <col min="5131" max="5377" width="9.140625" style="183"/>
    <col min="5378" max="5378" width="2.7109375" style="183" customWidth="1"/>
    <col min="5379" max="5386" width="16.28515625" style="183" customWidth="1"/>
    <col min="5387" max="5633" width="9.140625" style="183"/>
    <col min="5634" max="5634" width="2.7109375" style="183" customWidth="1"/>
    <col min="5635" max="5642" width="16.28515625" style="183" customWidth="1"/>
    <col min="5643" max="5889" width="9.140625" style="183"/>
    <col min="5890" max="5890" width="2.7109375" style="183" customWidth="1"/>
    <col min="5891" max="5898" width="16.28515625" style="183" customWidth="1"/>
    <col min="5899" max="6145" width="9.140625" style="183"/>
    <col min="6146" max="6146" width="2.7109375" style="183" customWidth="1"/>
    <col min="6147" max="6154" width="16.28515625" style="183" customWidth="1"/>
    <col min="6155" max="6401" width="9.140625" style="183"/>
    <col min="6402" max="6402" width="2.7109375" style="183" customWidth="1"/>
    <col min="6403" max="6410" width="16.28515625" style="183" customWidth="1"/>
    <col min="6411" max="6657" width="9.140625" style="183"/>
    <col min="6658" max="6658" width="2.7109375" style="183" customWidth="1"/>
    <col min="6659" max="6666" width="16.28515625" style="183" customWidth="1"/>
    <col min="6667" max="6913" width="9.140625" style="183"/>
    <col min="6914" max="6914" width="2.7109375" style="183" customWidth="1"/>
    <col min="6915" max="6922" width="16.28515625" style="183" customWidth="1"/>
    <col min="6923" max="7169" width="9.140625" style="183"/>
    <col min="7170" max="7170" width="2.7109375" style="183" customWidth="1"/>
    <col min="7171" max="7178" width="16.28515625" style="183" customWidth="1"/>
    <col min="7179" max="7425" width="9.140625" style="183"/>
    <col min="7426" max="7426" width="2.7109375" style="183" customWidth="1"/>
    <col min="7427" max="7434" width="16.28515625" style="183" customWidth="1"/>
    <col min="7435" max="7681" width="9.140625" style="183"/>
    <col min="7682" max="7682" width="2.7109375" style="183" customWidth="1"/>
    <col min="7683" max="7690" width="16.28515625" style="183" customWidth="1"/>
    <col min="7691" max="7937" width="9.140625" style="183"/>
    <col min="7938" max="7938" width="2.7109375" style="183" customWidth="1"/>
    <col min="7939" max="7946" width="16.28515625" style="183" customWidth="1"/>
    <col min="7947" max="8193" width="9.140625" style="183"/>
    <col min="8194" max="8194" width="2.7109375" style="183" customWidth="1"/>
    <col min="8195" max="8202" width="16.28515625" style="183" customWidth="1"/>
    <col min="8203" max="8449" width="9.140625" style="183"/>
    <col min="8450" max="8450" width="2.7109375" style="183" customWidth="1"/>
    <col min="8451" max="8458" width="16.28515625" style="183" customWidth="1"/>
    <col min="8459" max="8705" width="9.140625" style="183"/>
    <col min="8706" max="8706" width="2.7109375" style="183" customWidth="1"/>
    <col min="8707" max="8714" width="16.28515625" style="183" customWidth="1"/>
    <col min="8715" max="8961" width="9.140625" style="183"/>
    <col min="8962" max="8962" width="2.7109375" style="183" customWidth="1"/>
    <col min="8963" max="8970" width="16.28515625" style="183" customWidth="1"/>
    <col min="8971" max="9217" width="9.140625" style="183"/>
    <col min="9218" max="9218" width="2.7109375" style="183" customWidth="1"/>
    <col min="9219" max="9226" width="16.28515625" style="183" customWidth="1"/>
    <col min="9227" max="9473" width="9.140625" style="183"/>
    <col min="9474" max="9474" width="2.7109375" style="183" customWidth="1"/>
    <col min="9475" max="9482" width="16.28515625" style="183" customWidth="1"/>
    <col min="9483" max="9729" width="9.140625" style="183"/>
    <col min="9730" max="9730" width="2.7109375" style="183" customWidth="1"/>
    <col min="9731" max="9738" width="16.28515625" style="183" customWidth="1"/>
    <col min="9739" max="9985" width="9.140625" style="183"/>
    <col min="9986" max="9986" width="2.7109375" style="183" customWidth="1"/>
    <col min="9987" max="9994" width="16.28515625" style="183" customWidth="1"/>
    <col min="9995" max="10241" width="9.140625" style="183"/>
    <col min="10242" max="10242" width="2.7109375" style="183" customWidth="1"/>
    <col min="10243" max="10250" width="16.28515625" style="183" customWidth="1"/>
    <col min="10251" max="10497" width="9.140625" style="183"/>
    <col min="10498" max="10498" width="2.7109375" style="183" customWidth="1"/>
    <col min="10499" max="10506" width="16.28515625" style="183" customWidth="1"/>
    <col min="10507" max="10753" width="9.140625" style="183"/>
    <col min="10754" max="10754" width="2.7109375" style="183" customWidth="1"/>
    <col min="10755" max="10762" width="16.28515625" style="183" customWidth="1"/>
    <col min="10763" max="11009" width="9.140625" style="183"/>
    <col min="11010" max="11010" width="2.7109375" style="183" customWidth="1"/>
    <col min="11011" max="11018" width="16.28515625" style="183" customWidth="1"/>
    <col min="11019" max="11265" width="9.140625" style="183"/>
    <col min="11266" max="11266" width="2.7109375" style="183" customWidth="1"/>
    <col min="11267" max="11274" width="16.28515625" style="183" customWidth="1"/>
    <col min="11275" max="11521" width="9.140625" style="183"/>
    <col min="11522" max="11522" width="2.7109375" style="183" customWidth="1"/>
    <col min="11523" max="11530" width="16.28515625" style="183" customWidth="1"/>
    <col min="11531" max="11777" width="9.140625" style="183"/>
    <col min="11778" max="11778" width="2.7109375" style="183" customWidth="1"/>
    <col min="11779" max="11786" width="16.28515625" style="183" customWidth="1"/>
    <col min="11787" max="12033" width="9.140625" style="183"/>
    <col min="12034" max="12034" width="2.7109375" style="183" customWidth="1"/>
    <col min="12035" max="12042" width="16.28515625" style="183" customWidth="1"/>
    <col min="12043" max="12289" width="9.140625" style="183"/>
    <col min="12290" max="12290" width="2.7109375" style="183" customWidth="1"/>
    <col min="12291" max="12298" width="16.28515625" style="183" customWidth="1"/>
    <col min="12299" max="12545" width="9.140625" style="183"/>
    <col min="12546" max="12546" width="2.7109375" style="183" customWidth="1"/>
    <col min="12547" max="12554" width="16.28515625" style="183" customWidth="1"/>
    <col min="12555" max="12801" width="9.140625" style="183"/>
    <col min="12802" max="12802" width="2.7109375" style="183" customWidth="1"/>
    <col min="12803" max="12810" width="16.28515625" style="183" customWidth="1"/>
    <col min="12811" max="13057" width="9.140625" style="183"/>
    <col min="13058" max="13058" width="2.7109375" style="183" customWidth="1"/>
    <col min="13059" max="13066" width="16.28515625" style="183" customWidth="1"/>
    <col min="13067" max="13313" width="9.140625" style="183"/>
    <col min="13314" max="13314" width="2.7109375" style="183" customWidth="1"/>
    <col min="13315" max="13322" width="16.28515625" style="183" customWidth="1"/>
    <col min="13323" max="13569" width="9.140625" style="183"/>
    <col min="13570" max="13570" width="2.7109375" style="183" customWidth="1"/>
    <col min="13571" max="13578" width="16.28515625" style="183" customWidth="1"/>
    <col min="13579" max="13825" width="9.140625" style="183"/>
    <col min="13826" max="13826" width="2.7109375" style="183" customWidth="1"/>
    <col min="13827" max="13834" width="16.28515625" style="183" customWidth="1"/>
    <col min="13835" max="14081" width="9.140625" style="183"/>
    <col min="14082" max="14082" width="2.7109375" style="183" customWidth="1"/>
    <col min="14083" max="14090" width="16.28515625" style="183" customWidth="1"/>
    <col min="14091" max="14337" width="9.140625" style="183"/>
    <col min="14338" max="14338" width="2.7109375" style="183" customWidth="1"/>
    <col min="14339" max="14346" width="16.28515625" style="183" customWidth="1"/>
    <col min="14347" max="14593" width="9.140625" style="183"/>
    <col min="14594" max="14594" width="2.7109375" style="183" customWidth="1"/>
    <col min="14595" max="14602" width="16.28515625" style="183" customWidth="1"/>
    <col min="14603" max="14849" width="9.140625" style="183"/>
    <col min="14850" max="14850" width="2.7109375" style="183" customWidth="1"/>
    <col min="14851" max="14858" width="16.28515625" style="183" customWidth="1"/>
    <col min="14859" max="15105" width="9.140625" style="183"/>
    <col min="15106" max="15106" width="2.7109375" style="183" customWidth="1"/>
    <col min="15107" max="15114" width="16.28515625" style="183" customWidth="1"/>
    <col min="15115" max="15361" width="9.140625" style="183"/>
    <col min="15362" max="15362" width="2.7109375" style="183" customWidth="1"/>
    <col min="15363" max="15370" width="16.28515625" style="183" customWidth="1"/>
    <col min="15371" max="15617" width="9.140625" style="183"/>
    <col min="15618" max="15618" width="2.7109375" style="183" customWidth="1"/>
    <col min="15619" max="15626" width="16.28515625" style="183" customWidth="1"/>
    <col min="15627" max="15873" width="9.140625" style="183"/>
    <col min="15874" max="15874" width="2.7109375" style="183" customWidth="1"/>
    <col min="15875" max="15882" width="16.28515625" style="183" customWidth="1"/>
    <col min="15883" max="16129" width="9.140625" style="183"/>
    <col min="16130" max="16130" width="2.7109375" style="183" customWidth="1"/>
    <col min="16131" max="16138" width="16.28515625" style="183" customWidth="1"/>
    <col min="16139" max="16384" width="9.140625" style="183"/>
  </cols>
  <sheetData>
    <row r="2" spans="2:15" ht="20.25">
      <c r="B2" s="66" t="s">
        <v>529</v>
      </c>
      <c r="D2" s="184"/>
      <c r="E2" s="184"/>
      <c r="F2" s="592" t="s">
        <v>298</v>
      </c>
      <c r="G2" s="184"/>
      <c r="H2" s="184"/>
      <c r="K2" s="185" t="s">
        <v>692</v>
      </c>
      <c r="N2" s="68"/>
      <c r="O2" s="1"/>
    </row>
    <row r="3" spans="2:15" ht="20.25">
      <c r="B3" s="66"/>
      <c r="D3" s="184"/>
      <c r="E3" s="184"/>
      <c r="F3" s="184"/>
      <c r="G3" s="184"/>
      <c r="H3" s="184"/>
      <c r="K3" s="185" t="s">
        <v>693</v>
      </c>
      <c r="N3" s="19"/>
      <c r="O3" s="1"/>
    </row>
    <row r="4" spans="2:15" ht="20.25">
      <c r="B4" s="66"/>
      <c r="D4" s="184"/>
      <c r="E4" s="184"/>
      <c r="F4" s="184"/>
      <c r="G4" s="184"/>
      <c r="H4" s="184"/>
      <c r="K4" s="185"/>
      <c r="N4" s="19"/>
      <c r="O4" s="1"/>
    </row>
    <row r="5" spans="2:15" ht="13.5" customHeight="1">
      <c r="B5" s="186"/>
      <c r="K5" s="187" t="s">
        <v>530</v>
      </c>
      <c r="L5" s="187"/>
      <c r="M5" s="187"/>
      <c r="N5" s="187"/>
      <c r="O5" s="187"/>
    </row>
    <row r="6" spans="2:15" ht="12.95" customHeight="1">
      <c r="B6" s="188" t="s">
        <v>2</v>
      </c>
    </row>
    <row r="7" spans="2:15" ht="12.95" customHeight="1">
      <c r="B7" s="189" t="s">
        <v>531</v>
      </c>
      <c r="C7" s="189" t="s">
        <v>532</v>
      </c>
      <c r="D7" s="189" t="s">
        <v>533</v>
      </c>
      <c r="E7" s="189" t="s">
        <v>534</v>
      </c>
      <c r="F7" s="189" t="s">
        <v>535</v>
      </c>
      <c r="G7" s="189" t="s">
        <v>536</v>
      </c>
      <c r="H7" s="189" t="s">
        <v>537</v>
      </c>
      <c r="I7" s="190" t="s">
        <v>538</v>
      </c>
      <c r="K7" s="12">
        <v>100000</v>
      </c>
      <c r="L7" s="13" t="s">
        <v>532</v>
      </c>
      <c r="M7" s="183" t="s">
        <v>539</v>
      </c>
      <c r="N7" s="191">
        <f>IF(K7="","",IFERROR(K7*INDEX($B$8:$I$15,MATCH(L7,$B$7:$I$7,0),MATCH(O7,$B$7:$I$7,0)),"Not available"))</f>
        <v>45359.236999999994</v>
      </c>
      <c r="O7" s="14" t="s">
        <v>535</v>
      </c>
    </row>
    <row r="8" spans="2:15" ht="12.95" customHeight="1">
      <c r="B8" s="192">
        <v>1</v>
      </c>
      <c r="C8" s="189">
        <v>6.25E-2</v>
      </c>
      <c r="D8" s="189">
        <v>3.1250000000000001E-5</v>
      </c>
      <c r="E8" s="189">
        <v>2.790178571428571E-5</v>
      </c>
      <c r="F8" s="189">
        <v>2.8349523124999998E-2</v>
      </c>
      <c r="G8" s="189">
        <v>2.8349523124999999E-5</v>
      </c>
      <c r="H8" s="189">
        <v>0.27801385095378123</v>
      </c>
      <c r="I8" s="189">
        <v>6.2500000000000001E-5</v>
      </c>
    </row>
    <row r="9" spans="2:15" ht="12.95" customHeight="1">
      <c r="B9" s="193">
        <v>16</v>
      </c>
      <c r="C9" s="194">
        <v>1</v>
      </c>
      <c r="D9" s="193">
        <v>5.0000000000000001E-4</v>
      </c>
      <c r="E9" s="193">
        <v>4.4642857142857136E-4</v>
      </c>
      <c r="F9" s="193">
        <v>0.45359236999999997</v>
      </c>
      <c r="G9" s="193">
        <v>4.5359236999999999E-4</v>
      </c>
      <c r="H9" s="193">
        <v>4.4482216152604996</v>
      </c>
      <c r="I9" s="193">
        <v>1E-3</v>
      </c>
    </row>
    <row r="10" spans="2:15" ht="12.95" customHeight="1">
      <c r="B10" s="193">
        <v>32000</v>
      </c>
      <c r="C10" s="193">
        <v>2000</v>
      </c>
      <c r="D10" s="194">
        <v>1</v>
      </c>
      <c r="E10" s="193">
        <v>0.89285714285714268</v>
      </c>
      <c r="F10" s="193">
        <v>907.18474000000003</v>
      </c>
      <c r="G10" s="193">
        <v>0.90718473999999993</v>
      </c>
      <c r="H10" s="193">
        <v>8896.4432305209994</v>
      </c>
      <c r="I10" s="193">
        <v>2</v>
      </c>
    </row>
    <row r="11" spans="2:15" ht="12.95" customHeight="1">
      <c r="B11" s="193">
        <v>35840.000000000007</v>
      </c>
      <c r="C11" s="193">
        <v>2240.0000000000005</v>
      </c>
      <c r="D11" s="193">
        <v>1.1200000000000001</v>
      </c>
      <c r="E11" s="194">
        <v>1</v>
      </c>
      <c r="F11" s="193">
        <v>1016.0469088000001</v>
      </c>
      <c r="G11" s="193">
        <v>1.0160469088000001</v>
      </c>
      <c r="H11" s="193">
        <v>9964.0164181835207</v>
      </c>
      <c r="I11" s="193">
        <v>2.2400000000000002</v>
      </c>
    </row>
    <row r="12" spans="2:15" ht="12.95" customHeight="1">
      <c r="B12" s="193">
        <v>35.273961949580411</v>
      </c>
      <c r="C12" s="193">
        <v>2.2046226218487757</v>
      </c>
      <c r="D12" s="193">
        <v>1.1023113109243879E-3</v>
      </c>
      <c r="E12" s="193">
        <v>9.8420652761106058E-4</v>
      </c>
      <c r="F12" s="194">
        <v>1</v>
      </c>
      <c r="G12" s="193">
        <v>1E-3</v>
      </c>
      <c r="H12" s="193">
        <v>9.8066499999999994</v>
      </c>
      <c r="I12" s="193">
        <v>2.2046226218487759E-3</v>
      </c>
    </row>
    <row r="13" spans="2:15" ht="12.95" customHeight="1">
      <c r="B13" s="193">
        <v>35273.961949580415</v>
      </c>
      <c r="C13" s="193">
        <v>2204.6226218487759</v>
      </c>
      <c r="D13" s="193">
        <v>1.1023113109243878</v>
      </c>
      <c r="E13" s="193">
        <v>0.98420652761106053</v>
      </c>
      <c r="F13" s="193">
        <v>1000</v>
      </c>
      <c r="G13" s="194">
        <v>1</v>
      </c>
      <c r="H13" s="193">
        <v>9806.65</v>
      </c>
      <c r="I13" s="193">
        <v>2.2046226218487757</v>
      </c>
    </row>
    <row r="14" spans="2:15" ht="12.95" customHeight="1">
      <c r="B14" s="193">
        <v>3.596943089595368</v>
      </c>
      <c r="C14" s="193">
        <v>0.2248089430997105</v>
      </c>
      <c r="D14" s="193">
        <v>1.1240447154985525E-4</v>
      </c>
      <c r="E14" s="193">
        <v>1.0036113531237075E-4</v>
      </c>
      <c r="F14" s="193">
        <v>0.10197162129779283</v>
      </c>
      <c r="G14" s="193">
        <v>1.0197162129779283E-4</v>
      </c>
      <c r="H14" s="194">
        <v>1</v>
      </c>
      <c r="I14" s="193">
        <v>2.248089430997105E-4</v>
      </c>
    </row>
    <row r="15" spans="2:15" ht="12.95" customHeight="1">
      <c r="B15" s="195">
        <v>16000</v>
      </c>
      <c r="C15" s="195">
        <v>1000</v>
      </c>
      <c r="D15" s="195">
        <v>0.5</v>
      </c>
      <c r="E15" s="195">
        <v>0.44642857142857134</v>
      </c>
      <c r="F15" s="195">
        <v>453.59237000000002</v>
      </c>
      <c r="G15" s="195">
        <v>0.45359236999999997</v>
      </c>
      <c r="H15" s="196">
        <v>4448.2216152604997</v>
      </c>
      <c r="I15" s="196">
        <v>1</v>
      </c>
    </row>
    <row r="16" spans="2:15" ht="12.95" customHeight="1"/>
    <row r="17" spans="2:15">
      <c r="B17" s="188" t="s">
        <v>540</v>
      </c>
    </row>
    <row r="18" spans="2:15">
      <c r="B18" s="190" t="s">
        <v>541</v>
      </c>
      <c r="C18" s="190" t="s">
        <v>542</v>
      </c>
      <c r="D18" s="190" t="s">
        <v>543</v>
      </c>
      <c r="E18" s="190" t="s">
        <v>544</v>
      </c>
      <c r="F18" s="190" t="s">
        <v>545</v>
      </c>
      <c r="K18" s="15">
        <v>45</v>
      </c>
      <c r="L18" s="40" t="s">
        <v>541</v>
      </c>
      <c r="M18" s="183" t="s">
        <v>539</v>
      </c>
      <c r="N18" s="197">
        <f>IF(K18="","",IFERROR(K18*INDEX($B$19:$F$23,MATCH(L18,$B$18:$F$18,0),MATCH(O18,$B$18:$F$18,0)),"Not available"))</f>
        <v>310.26407819255996</v>
      </c>
      <c r="O18" s="41" t="s">
        <v>543</v>
      </c>
    </row>
    <row r="19" spans="2:15">
      <c r="B19" s="192">
        <v>1</v>
      </c>
      <c r="C19" s="189">
        <v>6.8947572931679996E-2</v>
      </c>
      <c r="D19" s="189">
        <v>6.8947572931679995</v>
      </c>
      <c r="E19" s="189">
        <v>0.70306957963912242</v>
      </c>
      <c r="F19" s="189">
        <v>703.06957963912248</v>
      </c>
    </row>
    <row r="20" spans="2:15">
      <c r="B20" s="193">
        <v>14.503773773021683</v>
      </c>
      <c r="C20" s="194">
        <v>1</v>
      </c>
      <c r="D20" s="193">
        <v>100</v>
      </c>
      <c r="E20" s="193">
        <v>10.197162129779283</v>
      </c>
      <c r="F20" s="193">
        <v>10197.162129779283</v>
      </c>
    </row>
    <row r="21" spans="2:15">
      <c r="B21" s="193">
        <v>0.14503773773021683</v>
      </c>
      <c r="C21" s="193">
        <v>0.01</v>
      </c>
      <c r="D21" s="194">
        <v>1</v>
      </c>
      <c r="E21" s="193">
        <v>0.10197162129779283</v>
      </c>
      <c r="F21" s="193">
        <v>101.97162129779284</v>
      </c>
    </row>
    <row r="22" spans="2:15">
      <c r="B22" s="193">
        <v>1.4223343307120309</v>
      </c>
      <c r="C22" s="193">
        <v>9.8066500000000001E-2</v>
      </c>
      <c r="D22" s="193">
        <v>9.8066499999999994</v>
      </c>
      <c r="E22" s="194">
        <v>1</v>
      </c>
      <c r="F22" s="193">
        <v>1000</v>
      </c>
    </row>
    <row r="23" spans="2:15">
      <c r="B23" s="195">
        <v>1.4223343307120308E-3</v>
      </c>
      <c r="C23" s="195">
        <v>9.80665E-5</v>
      </c>
      <c r="D23" s="195">
        <v>9.8066500000000001E-3</v>
      </c>
      <c r="E23" s="195">
        <v>1E-3</v>
      </c>
      <c r="F23" s="196">
        <v>1</v>
      </c>
    </row>
    <row r="24" spans="2:15" ht="12.95" customHeight="1"/>
    <row r="25" spans="2:15" ht="12.95" customHeight="1">
      <c r="B25" s="188" t="s">
        <v>54</v>
      </c>
    </row>
    <row r="26" spans="2:15" ht="12.95" customHeight="1">
      <c r="B26" s="198" t="s">
        <v>546</v>
      </c>
      <c r="C26" s="199" t="s">
        <v>547</v>
      </c>
      <c r="D26" s="199" t="s">
        <v>548</v>
      </c>
      <c r="E26" s="199" t="s">
        <v>549</v>
      </c>
      <c r="F26" s="199" t="s">
        <v>550</v>
      </c>
      <c r="G26" s="200" t="s">
        <v>551</v>
      </c>
      <c r="K26" s="15">
        <v>100</v>
      </c>
      <c r="L26" s="40" t="s">
        <v>547</v>
      </c>
      <c r="M26" s="183" t="s">
        <v>539</v>
      </c>
      <c r="N26" s="197">
        <f>IF(K26="","",IFERROR(K26*INDEX($B$27:$G$32,MATCH(L26,$B$26:$G$26,0),MATCH(O26,$B$26:$G$26,0)),"Not available"))</f>
        <v>30.48</v>
      </c>
      <c r="O26" s="41" t="s">
        <v>551</v>
      </c>
    </row>
    <row r="27" spans="2:15" ht="12.95" customHeight="1">
      <c r="B27" s="201">
        <v>1</v>
      </c>
      <c r="C27" s="202">
        <v>8.3333333333333329E-2</v>
      </c>
      <c r="D27" s="202">
        <v>2.7777777777777776E-2</v>
      </c>
      <c r="E27" s="202">
        <v>1.5782828282828283E-5</v>
      </c>
      <c r="F27" s="202">
        <v>25.4</v>
      </c>
      <c r="G27" s="203">
        <v>2.5399999999999999E-2</v>
      </c>
    </row>
    <row r="28" spans="2:15" ht="12.95" customHeight="1">
      <c r="B28" s="204">
        <v>12.000000000000002</v>
      </c>
      <c r="C28" s="205">
        <v>1</v>
      </c>
      <c r="D28" s="202">
        <v>0.33333333333333337</v>
      </c>
      <c r="E28" s="202">
        <v>1.8939393939393939E-4</v>
      </c>
      <c r="F28" s="202">
        <v>304.8</v>
      </c>
      <c r="G28" s="203">
        <v>0.30480000000000002</v>
      </c>
    </row>
    <row r="29" spans="2:15" ht="12.95" customHeight="1">
      <c r="B29" s="204">
        <v>36</v>
      </c>
      <c r="C29" s="202">
        <v>3</v>
      </c>
      <c r="D29" s="205">
        <v>1</v>
      </c>
      <c r="E29" s="202">
        <v>5.6818181818181815E-4</v>
      </c>
      <c r="F29" s="202">
        <v>914.4</v>
      </c>
      <c r="G29" s="203">
        <v>0.91439999999999999</v>
      </c>
    </row>
    <row r="30" spans="2:15" ht="12.95" customHeight="1">
      <c r="B30" s="204">
        <v>63360.000000000007</v>
      </c>
      <c r="C30" s="202">
        <v>5280</v>
      </c>
      <c r="D30" s="202">
        <v>1760</v>
      </c>
      <c r="E30" s="205">
        <v>1</v>
      </c>
      <c r="F30" s="202">
        <v>1609344</v>
      </c>
      <c r="G30" s="203">
        <v>1609.3440000000001</v>
      </c>
    </row>
    <row r="31" spans="2:15" ht="12.95" customHeight="1">
      <c r="B31" s="204">
        <v>3.937007874015748E-2</v>
      </c>
      <c r="C31" s="202">
        <v>3.2808398950131233E-3</v>
      </c>
      <c r="D31" s="202">
        <v>1.0936132983377078E-3</v>
      </c>
      <c r="E31" s="202">
        <v>6.2137119223733397E-7</v>
      </c>
      <c r="F31" s="205">
        <v>1</v>
      </c>
      <c r="G31" s="203">
        <v>1E-3</v>
      </c>
    </row>
    <row r="32" spans="2:15" ht="12.95" customHeight="1">
      <c r="B32" s="206">
        <v>39.370078740157481</v>
      </c>
      <c r="C32" s="207">
        <v>3.280839895013123</v>
      </c>
      <c r="D32" s="207">
        <v>1.0936132983377078</v>
      </c>
      <c r="E32" s="207">
        <v>6.2137119223733392E-4</v>
      </c>
      <c r="F32" s="207">
        <v>1000</v>
      </c>
      <c r="G32" s="208">
        <v>1</v>
      </c>
    </row>
    <row r="33" spans="2:15" ht="12.95" customHeight="1"/>
    <row r="34" spans="2:15" ht="12.95" customHeight="1">
      <c r="B34" s="188" t="s">
        <v>552</v>
      </c>
    </row>
    <row r="35" spans="2:15" ht="12.95" customHeight="1">
      <c r="B35" s="209" t="s">
        <v>553</v>
      </c>
      <c r="C35" s="210" t="s">
        <v>554</v>
      </c>
      <c r="D35" s="210" t="s">
        <v>555</v>
      </c>
      <c r="E35" s="210" t="s">
        <v>556</v>
      </c>
      <c r="F35" s="210" t="s">
        <v>557</v>
      </c>
      <c r="G35" s="210" t="s">
        <v>558</v>
      </c>
      <c r="H35" s="210" t="s">
        <v>559</v>
      </c>
      <c r="I35" s="211" t="s">
        <v>560</v>
      </c>
      <c r="K35" s="15">
        <v>20</v>
      </c>
      <c r="L35" s="40" t="s">
        <v>556</v>
      </c>
      <c r="M35" s="183" t="s">
        <v>539</v>
      </c>
      <c r="N35" s="197">
        <f>IF(K35="","",IFERROR(IF(INDEX($B$36:$I$43,MATCH(L35,$B$35:$I$35,0),MATCH(O35,$B$35:$I$35,0))="-","Not available",K35*INDEX($B$36:$I$43,MATCH(L35,$B$35:$I$35,0),MATCH(O35,$B$35:$I$35,0))),"Not available"))</f>
        <v>8.0937128448000006</v>
      </c>
      <c r="O35" s="41" t="s">
        <v>560</v>
      </c>
    </row>
    <row r="36" spans="2:15" ht="12.95" customHeight="1">
      <c r="B36" s="212">
        <v>1</v>
      </c>
      <c r="C36" s="213">
        <v>6.9444444444444441E-3</v>
      </c>
      <c r="D36" s="210">
        <v>7.716049382716049E-4</v>
      </c>
      <c r="E36" s="214">
        <v>1.5942250790735638E-7</v>
      </c>
      <c r="F36" s="213">
        <v>2.4909766860524435E-10</v>
      </c>
      <c r="G36" s="210">
        <v>6.4515999999999991</v>
      </c>
      <c r="H36" s="214">
        <v>6.4515999999999998E-4</v>
      </c>
      <c r="I36" s="211">
        <v>6.4515999999999994E-8</v>
      </c>
    </row>
    <row r="37" spans="2:15" ht="12.95" customHeight="1">
      <c r="B37" s="204">
        <v>144</v>
      </c>
      <c r="C37" s="215">
        <v>1</v>
      </c>
      <c r="D37" s="202">
        <v>0.11111111111111112</v>
      </c>
      <c r="E37" s="216">
        <v>2.295684113865932E-5</v>
      </c>
      <c r="F37" s="217">
        <v>3.5870064279155189E-8</v>
      </c>
      <c r="G37" s="202">
        <v>929.03039999999999</v>
      </c>
      <c r="H37" s="216">
        <v>9.2903040000000006E-2</v>
      </c>
      <c r="I37" s="203">
        <v>9.2903040000000008E-6</v>
      </c>
    </row>
    <row r="38" spans="2:15" ht="12.95" customHeight="1">
      <c r="B38" s="204">
        <v>1296</v>
      </c>
      <c r="C38" s="217">
        <v>9</v>
      </c>
      <c r="D38" s="205">
        <v>1</v>
      </c>
      <c r="E38" s="216">
        <v>2.0661157024793388E-4</v>
      </c>
      <c r="F38" s="217">
        <v>3.2283057851239667E-7</v>
      </c>
      <c r="G38" s="202">
        <v>8361.2735999999986</v>
      </c>
      <c r="H38" s="216">
        <v>0.83612735999999999</v>
      </c>
      <c r="I38" s="203">
        <v>8.3612735999999998E-5</v>
      </c>
    </row>
    <row r="39" spans="2:15" ht="12.95" customHeight="1">
      <c r="B39" s="204">
        <v>6272640</v>
      </c>
      <c r="C39" s="217">
        <v>43560</v>
      </c>
      <c r="D39" s="202">
        <v>4840</v>
      </c>
      <c r="E39" s="218">
        <v>1</v>
      </c>
      <c r="F39" s="217">
        <v>1.5625000000000001E-3</v>
      </c>
      <c r="G39" s="202">
        <v>40468564.223999999</v>
      </c>
      <c r="H39" s="216">
        <v>4046.8564224000002</v>
      </c>
      <c r="I39" s="203">
        <v>0.40468564224000003</v>
      </c>
    </row>
    <row r="40" spans="2:15" ht="12.95" customHeight="1">
      <c r="B40" s="204">
        <v>4014489600.0000005</v>
      </c>
      <c r="C40" s="217">
        <v>27878400</v>
      </c>
      <c r="D40" s="202">
        <v>3097600</v>
      </c>
      <c r="E40" s="216">
        <v>640</v>
      </c>
      <c r="F40" s="215">
        <v>1</v>
      </c>
      <c r="G40" s="202">
        <v>25899881103.360001</v>
      </c>
      <c r="H40" s="216">
        <v>2589988.1103360001</v>
      </c>
      <c r="I40" s="203">
        <v>258.99881103360002</v>
      </c>
    </row>
    <row r="41" spans="2:15" ht="12.95" customHeight="1">
      <c r="B41" s="204">
        <v>0.15500031000062001</v>
      </c>
      <c r="C41" s="217">
        <v>1.0763910416709721E-3</v>
      </c>
      <c r="D41" s="202">
        <v>1.1959900463010803E-4</v>
      </c>
      <c r="E41" s="216">
        <v>2.4710538146716536E-8</v>
      </c>
      <c r="F41" s="217">
        <v>3.8610215854244583E-11</v>
      </c>
      <c r="G41" s="205">
        <v>1</v>
      </c>
      <c r="H41" s="216">
        <v>1E-4</v>
      </c>
      <c r="I41" s="203">
        <v>1E-8</v>
      </c>
    </row>
    <row r="42" spans="2:15" ht="12.95" customHeight="1">
      <c r="B42" s="204">
        <v>1550.0031000062002</v>
      </c>
      <c r="C42" s="217">
        <v>10.763910416709722</v>
      </c>
      <c r="D42" s="202">
        <v>1.1959900463010802</v>
      </c>
      <c r="E42" s="216">
        <v>2.4710538146716532E-4</v>
      </c>
      <c r="F42" s="217">
        <v>3.8610215854244582E-7</v>
      </c>
      <c r="G42" s="202">
        <v>10000</v>
      </c>
      <c r="H42" s="218">
        <v>1</v>
      </c>
      <c r="I42" s="203">
        <v>1E-4</v>
      </c>
    </row>
    <row r="43" spans="2:15" ht="12.95" customHeight="1">
      <c r="B43" s="206">
        <v>15500031.000062</v>
      </c>
      <c r="C43" s="219">
        <v>107639.10416709722</v>
      </c>
      <c r="D43" s="207">
        <v>11959.900463010803</v>
      </c>
      <c r="E43" s="220">
        <v>2.4710538146716532</v>
      </c>
      <c r="F43" s="219">
        <v>3.8610215854244581E-3</v>
      </c>
      <c r="G43" s="207">
        <v>100000000</v>
      </c>
      <c r="H43" s="220">
        <v>10000</v>
      </c>
      <c r="I43" s="208">
        <v>1</v>
      </c>
      <c r="J43" s="186"/>
    </row>
    <row r="44" spans="2:15" ht="12.95" customHeight="1"/>
    <row r="45" spans="2:15" ht="12.95" customHeight="1">
      <c r="B45" s="188" t="s">
        <v>561</v>
      </c>
    </row>
    <row r="46" spans="2:15" ht="12.95" customHeight="1">
      <c r="B46" s="190" t="s">
        <v>562</v>
      </c>
      <c r="C46" s="190" t="s">
        <v>563</v>
      </c>
      <c r="D46" s="190" t="s">
        <v>564</v>
      </c>
      <c r="E46" s="190" t="s">
        <v>565</v>
      </c>
      <c r="F46" s="190" t="s">
        <v>566</v>
      </c>
      <c r="K46" s="15">
        <v>10</v>
      </c>
      <c r="L46" s="40" t="s">
        <v>564</v>
      </c>
      <c r="M46" s="183" t="s">
        <v>539</v>
      </c>
      <c r="N46" s="197">
        <f>IF(K46="","",IFERROR(K46*INDEX($B$47:$F$51,MATCH(L46,$B$46:$F$46,0),MATCH(O46,$B$46:$F$46,0)),"Not available"))</f>
        <v>7.6455485798399998</v>
      </c>
      <c r="O46" s="41" t="s">
        <v>566</v>
      </c>
    </row>
    <row r="47" spans="2:15" ht="12.95" customHeight="1">
      <c r="B47" s="192">
        <v>1</v>
      </c>
      <c r="C47" s="189">
        <v>5.7870370370370367E-4</v>
      </c>
      <c r="D47" s="189">
        <v>2.143347050754458E-5</v>
      </c>
      <c r="E47" s="189">
        <v>1.6387064E-2</v>
      </c>
      <c r="F47" s="189">
        <v>1.6387063999999999E-5</v>
      </c>
    </row>
    <row r="48" spans="2:15" ht="12.95" customHeight="1">
      <c r="B48" s="193">
        <v>1728.0000000000002</v>
      </c>
      <c r="C48" s="194">
        <v>1</v>
      </c>
      <c r="D48" s="193">
        <v>3.7037037037037035E-2</v>
      </c>
      <c r="E48" s="193">
        <v>28.316846592000001</v>
      </c>
      <c r="F48" s="193">
        <v>2.8316846592000001E-2</v>
      </c>
    </row>
    <row r="49" spans="2:11" ht="12.95" customHeight="1">
      <c r="B49" s="193">
        <v>46656.000000000007</v>
      </c>
      <c r="C49" s="193">
        <v>27</v>
      </c>
      <c r="D49" s="194">
        <v>1</v>
      </c>
      <c r="E49" s="193">
        <v>764.55485798400002</v>
      </c>
      <c r="F49" s="193">
        <v>0.76455485798400002</v>
      </c>
      <c r="K49" s="186"/>
    </row>
    <row r="50" spans="2:11" ht="12.95" customHeight="1">
      <c r="B50" s="193">
        <v>61.023744094732287</v>
      </c>
      <c r="C50" s="193">
        <v>3.5314666721488593E-2</v>
      </c>
      <c r="D50" s="193">
        <v>1.3079506193143923E-3</v>
      </c>
      <c r="E50" s="194">
        <v>1</v>
      </c>
      <c r="F50" s="193">
        <v>1E-3</v>
      </c>
    </row>
    <row r="51" spans="2:11" ht="12.95" customHeight="1">
      <c r="B51" s="195">
        <v>61023.74409473229</v>
      </c>
      <c r="C51" s="195">
        <v>35.314666721488592</v>
      </c>
      <c r="D51" s="195">
        <v>1.3079506193143922</v>
      </c>
      <c r="E51" s="195">
        <v>1000</v>
      </c>
      <c r="F51" s="196">
        <v>1</v>
      </c>
    </row>
    <row r="53" spans="2:11" ht="15">
      <c r="B53" s="572" t="s">
        <v>809</v>
      </c>
    </row>
    <row r="54" spans="2:11" ht="15">
      <c r="B54" s="572" t="s">
        <v>810</v>
      </c>
    </row>
    <row r="55" spans="2:11" ht="15">
      <c r="B55" s="572" t="s">
        <v>811</v>
      </c>
    </row>
    <row r="56" spans="2:11" ht="15">
      <c r="B56" s="573" t="s">
        <v>812</v>
      </c>
    </row>
    <row r="57" spans="2:11" ht="15">
      <c r="B57" s="573" t="s">
        <v>813</v>
      </c>
    </row>
  </sheetData>
  <sheetProtection sheet="1" objects="1" scenarios="1" selectLockedCells="1"/>
  <mergeCells count="1">
    <mergeCell ref="K5:O5"/>
  </mergeCells>
  <conditionalFormatting sqref="O7">
    <cfRule type="expression" dxfId="101" priority="1">
      <formula>AND(O7&lt;&gt;"",O7=L7)</formula>
    </cfRule>
  </conditionalFormatting>
  <conditionalFormatting sqref="O18">
    <cfRule type="expression" dxfId="100" priority="2">
      <formula>AND(O18&lt;&gt;"",O18=L18)</formula>
    </cfRule>
  </conditionalFormatting>
  <conditionalFormatting sqref="O26">
    <cfRule type="expression" dxfId="99" priority="3">
      <formula>AND(O26&lt;&gt;"",O26=L26)</formula>
    </cfRule>
  </conditionalFormatting>
  <conditionalFormatting sqref="O35">
    <cfRule type="expression" dxfId="98" priority="4">
      <formula>AND(O35&lt;&gt;"",O35=L35)</formula>
    </cfRule>
  </conditionalFormatting>
  <conditionalFormatting sqref="O46">
    <cfRule type="expression" dxfId="97" priority="5">
      <formula>AND(O46&lt;&gt;"",O46=L46)</formula>
    </cfRule>
  </conditionalFormatting>
  <dataValidations count="5">
    <dataValidation type="list" allowBlank="1" showInputMessage="1" showErrorMessage="1" sqref="L18 O18" xr:uid="{F3091D3D-E540-46B9-AA5A-4C9DC72AE374}">
      <formula1>$B$18:$F$18</formula1>
    </dataValidation>
    <dataValidation type="list" allowBlank="1" showInputMessage="1" showErrorMessage="1" sqref="L7 O7" xr:uid="{6BD74CAC-CB02-443E-90A1-79BEDA5C061E}">
      <formula1>$B$7:$I$7</formula1>
    </dataValidation>
    <dataValidation type="list" allowBlank="1" showInputMessage="1" showErrorMessage="1" sqref="O46 L46" xr:uid="{8459EFD4-17E2-450E-858F-BC3405738468}">
      <formula1>$B$46:$F$46</formula1>
    </dataValidation>
    <dataValidation type="list" allowBlank="1" showInputMessage="1" showErrorMessage="1" sqref="L35 O35" xr:uid="{9AE5C7D6-4C42-4765-B6DB-C94E7FAFE01F}">
      <formula1>$B$35:$I$35</formula1>
    </dataValidation>
    <dataValidation type="list" allowBlank="1" showInputMessage="1" showErrorMessage="1" sqref="L26 O26" xr:uid="{95E6A0BE-508A-43E0-BE58-4ED183BD3CF1}">
      <formula1>$B$26:$G$26</formula1>
    </dataValidation>
  </dataValidations>
  <hyperlinks>
    <hyperlink ref="F2" location="Home!A1" display="Home" xr:uid="{DD859828-C380-487C-8401-699859FD5420}"/>
    <hyperlink ref="B56" r:id="rId1" xr:uid="{DC8AE324-3637-4D1C-B21E-978FB9B04AD4}"/>
    <hyperlink ref="B57" r:id="rId2" xr:uid="{B602F68C-936F-4496-8F18-E32501913521}"/>
  </hyperlinks>
  <pageMargins left="0.25" right="0.25" top="0.75" bottom="0.75" header="0.3" footer="0.3"/>
  <pageSetup paperSize="9" scale="77" orientation="landscape" horizontalDpi="300" verticalDpi="300"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7F416-59E4-4DFA-BBA0-FBD2BE36C5CE}">
  <sheetPr codeName="Sheet2">
    <pageSetUpPr fitToPage="1"/>
  </sheetPr>
  <dimension ref="B2:N26"/>
  <sheetViews>
    <sheetView showGridLines="0" showRowColHeaders="0" workbookViewId="0">
      <selection activeCell="N13" sqref="N13"/>
    </sheetView>
  </sheetViews>
  <sheetFormatPr defaultRowHeight="12.75"/>
  <cols>
    <col min="1" max="1" width="6" style="222" customWidth="1"/>
    <col min="2" max="2" width="14.140625" style="222" customWidth="1"/>
    <col min="3" max="3" width="7.85546875" style="222" customWidth="1"/>
    <col min="4" max="4" width="6.5703125" style="222" customWidth="1"/>
    <col min="5" max="5" width="14" style="222" customWidth="1"/>
    <col min="6" max="8" width="7.140625" style="222" customWidth="1"/>
    <col min="9" max="16384" width="9.140625" style="222"/>
  </cols>
  <sheetData>
    <row r="2" spans="2:14" ht="20.25">
      <c r="B2" s="221" t="s">
        <v>69</v>
      </c>
      <c r="H2" s="592" t="s">
        <v>298</v>
      </c>
      <c r="N2" s="68"/>
    </row>
    <row r="3" spans="2:14" ht="15.75">
      <c r="B3" s="221"/>
    </row>
    <row r="4" spans="2:14">
      <c r="B4" s="223"/>
    </row>
    <row r="6" spans="2:14">
      <c r="B6" s="224" t="s">
        <v>70</v>
      </c>
      <c r="C6" s="16">
        <v>20000</v>
      </c>
      <c r="D6" s="222" t="s">
        <v>49</v>
      </c>
    </row>
    <row r="7" spans="2:14">
      <c r="B7" s="224" t="s">
        <v>71</v>
      </c>
      <c r="C7" s="16">
        <v>3450</v>
      </c>
      <c r="D7" s="222" t="s">
        <v>1</v>
      </c>
      <c r="E7" s="222" t="s">
        <v>72</v>
      </c>
    </row>
    <row r="8" spans="2:14">
      <c r="B8" s="224" t="s">
        <v>73</v>
      </c>
      <c r="C8" s="16">
        <v>4000</v>
      </c>
      <c r="D8" s="222" t="s">
        <v>1</v>
      </c>
      <c r="E8" s="222" t="s">
        <v>694</v>
      </c>
    </row>
    <row r="18" spans="2:9">
      <c r="B18" s="224" t="s">
        <v>74</v>
      </c>
      <c r="C18" s="225">
        <f>IF(OR(NOT(ISNUMBER(C6)),NOT(ISNUMBER(C7)),NOT(ISNUMBER(C8)),C6&lt;=0,C7&lt;0,C8&lt;=0,C7&gt;C8),"CHECK INPUTS",C6/C8*(C8-C7))</f>
        <v>2750</v>
      </c>
      <c r="D18" s="222" t="s">
        <v>42</v>
      </c>
      <c r="E18" s="224" t="s">
        <v>75</v>
      </c>
      <c r="F18" s="225">
        <f>IF(OR(NOT(ISNUMBER(C6)),NOT(ISNUMBER(C7)),NOT(ISNUMBER(C8)),C6&lt;=0,C7&lt;0,C8&lt;=0,C7&gt;C8),"CHECK INPUTS",C6/C8*C7)</f>
        <v>17250</v>
      </c>
      <c r="G18" s="222" t="s">
        <v>42</v>
      </c>
      <c r="H18" s="223"/>
    </row>
    <row r="19" spans="2:9">
      <c r="C19" s="226"/>
      <c r="F19" s="226"/>
      <c r="H19" s="223"/>
      <c r="I19" s="226"/>
    </row>
    <row r="20" spans="2:9">
      <c r="C20" s="227">
        <f>IF(ISNUMBER(C18),C18/2,"CHECK INPUTS")</f>
        <v>1375</v>
      </c>
      <c r="F20" s="222">
        <f>IF(ISNUMBER(F18),F18/2,"CHECK INPUTS")</f>
        <v>8625</v>
      </c>
    </row>
    <row r="22" spans="2:9" ht="15">
      <c r="B22" s="572" t="s">
        <v>809</v>
      </c>
    </row>
    <row r="23" spans="2:9" ht="15">
      <c r="B23" s="572" t="s">
        <v>810</v>
      </c>
    </row>
    <row r="24" spans="2:9" ht="15">
      <c r="B24" s="572" t="s">
        <v>811</v>
      </c>
    </row>
    <row r="25" spans="2:9" ht="15">
      <c r="B25" s="573" t="s">
        <v>812</v>
      </c>
    </row>
    <row r="26" spans="2:9" ht="15">
      <c r="B26" s="573" t="s">
        <v>813</v>
      </c>
    </row>
  </sheetData>
  <sheetProtection sheet="1" objects="1" scenarios="1" selectLockedCells="1"/>
  <dataValidations count="3">
    <dataValidation type="decimal" operator="greaterThan" showInputMessage="1" showErrorMessage="1" errorTitle="Invalid weight" error="Total weight must be a number &gt; 0." sqref="C6" xr:uid="{48791381-2EE0-44D4-BA54-175FD0203BF9}">
      <formula1>0</formula1>
    </dataValidation>
    <dataValidation type="custom" showInputMessage="1" showErrorMessage="1" errorTitle="Invalid distance" error="Distance A must be between 0 and Distance B." sqref="C7" xr:uid="{EE4435C2-0C3C-4438-A94A-2CE9B6679E7C}">
      <formula1>AND(ISNUMBER(C7),C7&gt;=0,ISNUMBER($C$8),$C$8&gt;0,C7&lt;=$C$8)</formula1>
    </dataValidation>
    <dataValidation type="custom" showInputMessage="1" showErrorMessage="1" errorTitle="Invalid distance" error="Distance B must be &gt; 0 and not less than Distance A." sqref="C8" xr:uid="{1613CD38-E1E3-4360-968F-474D13C2740E}">
      <formula1>AND(ISNUMBER(C8),C8&gt;0,ISNUMBER($C$7),$C$7&gt;=0,$C$7&lt;=C8)</formula1>
    </dataValidation>
  </dataValidations>
  <hyperlinks>
    <hyperlink ref="H2" location="Home!A1" display="Home" xr:uid="{A5C62F9D-CD67-4073-9D90-45FC13DFC2B6}"/>
    <hyperlink ref="B25" r:id="rId1" xr:uid="{8ACFF35B-B01C-4B97-BDDA-13616DE13227}"/>
    <hyperlink ref="B26" r:id="rId2" xr:uid="{967301EC-2758-40BC-B7CC-C1471C0A7C7B}"/>
  </hyperlinks>
  <pageMargins left="0.25" right="0.25" top="0.75" bottom="0.75" header="0.3" footer="0.3"/>
  <pageSetup paperSize="9" orientation="landscape" horizontalDpi="300" verticalDpi="300" r:id="rId3"/>
  <drawing r:id="rId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F635E-04C3-475A-885A-E82FBF0497A1}">
  <sheetPr codeName="Sheet22">
    <pageSetUpPr fitToPage="1"/>
  </sheetPr>
  <dimension ref="B1:W59"/>
  <sheetViews>
    <sheetView showGridLines="0" showRowColHeaders="0" zoomScale="90" zoomScaleNormal="90" workbookViewId="0">
      <selection activeCell="N13" sqref="N13"/>
      <extLst>
        <ext xmlns:xlsdti="http://schemas.microsoft.com/office/spreadsheetml/2023/showDataTypeIcons" uri="{77bfe23e-c014-4d31-8a63-9c772dbf06b6}">
          <xlsdti:showDataTypeIcons visible="0"/>
        </ext>
      </extLst>
    </sheetView>
  </sheetViews>
  <sheetFormatPr defaultColWidth="12.42578125" defaultRowHeight="12"/>
  <cols>
    <col min="1" max="1" width="5.7109375" style="576" customWidth="1"/>
    <col min="2" max="4" width="14.7109375" style="576" customWidth="1"/>
    <col min="5" max="5" width="9.140625" style="576" customWidth="1"/>
    <col min="6" max="6" width="17" style="576" customWidth="1"/>
    <col min="7" max="7" width="14.7109375" style="576" customWidth="1"/>
    <col min="8" max="8" width="17.140625" style="576" customWidth="1"/>
    <col min="9" max="9" width="14.7109375" style="576" customWidth="1"/>
    <col min="10" max="15" width="10" style="576" customWidth="1"/>
    <col min="16" max="16" width="8" style="576" hidden="1" customWidth="1"/>
    <col min="17" max="18" width="9" style="576" hidden="1" customWidth="1"/>
    <col min="19" max="19" width="12.42578125" style="576" hidden="1" customWidth="1"/>
    <col min="20" max="20" width="10.140625" style="576" hidden="1" customWidth="1"/>
    <col min="21" max="24" width="12.42578125" style="576"/>
    <col min="25" max="25" width="4.42578125" style="576" customWidth="1"/>
    <col min="26" max="26" width="15.5703125" style="576" bestFit="1" customWidth="1"/>
    <col min="27" max="16384" width="12.42578125" style="576"/>
  </cols>
  <sheetData>
    <row r="1" spans="2:20" s="228" customFormat="1" ht="18" customHeight="1"/>
    <row r="2" spans="2:20" s="228" customFormat="1" ht="18" customHeight="1">
      <c r="B2" s="66" t="s">
        <v>76</v>
      </c>
      <c r="I2" s="592" t="s">
        <v>298</v>
      </c>
      <c r="M2" s="1"/>
      <c r="N2" s="68"/>
    </row>
    <row r="3" spans="2:20" s="228" customFormat="1" ht="10.5" customHeight="1"/>
    <row r="4" spans="2:20" s="228" customFormat="1" ht="18" customHeight="1">
      <c r="B4" s="229" t="s">
        <v>425</v>
      </c>
      <c r="F4" s="230"/>
      <c r="G4" s="230"/>
      <c r="H4" s="230"/>
      <c r="I4" s="230"/>
      <c r="J4" s="231"/>
      <c r="K4" s="231"/>
      <c r="L4" s="231"/>
      <c r="M4" s="231"/>
      <c r="N4" s="231"/>
      <c r="O4" s="231"/>
    </row>
    <row r="5" spans="2:20" s="228" customFormat="1" ht="18" customHeight="1">
      <c r="D5" s="232"/>
      <c r="F5" s="233"/>
      <c r="G5" s="233"/>
      <c r="H5" s="233"/>
      <c r="I5" s="233"/>
    </row>
    <row r="6" spans="2:20" s="228" customFormat="1" ht="18" customHeight="1">
      <c r="B6" s="234" t="s">
        <v>426</v>
      </c>
      <c r="C6" s="234"/>
      <c r="D6" s="7">
        <v>12000</v>
      </c>
      <c r="E6" s="228" t="s">
        <v>1</v>
      </c>
      <c r="F6" s="235" t="s">
        <v>696</v>
      </c>
      <c r="G6" s="236"/>
      <c r="H6" s="235" t="s">
        <v>427</v>
      </c>
      <c r="I6" s="236"/>
      <c r="J6" s="237"/>
      <c r="K6" s="237"/>
      <c r="L6" s="237"/>
      <c r="M6" s="237"/>
      <c r="N6" s="237"/>
      <c r="O6" s="237"/>
    </row>
    <row r="7" spans="2:20" s="228" customFormat="1" ht="18" customHeight="1">
      <c r="B7" s="234" t="s">
        <v>428</v>
      </c>
      <c r="C7" s="234"/>
      <c r="D7" s="7">
        <v>10000</v>
      </c>
      <c r="E7" s="228" t="s">
        <v>1</v>
      </c>
      <c r="F7" s="238" t="s">
        <v>430</v>
      </c>
      <c r="G7" s="7">
        <v>2500</v>
      </c>
      <c r="H7" s="238" t="s">
        <v>430</v>
      </c>
      <c r="I7" s="7">
        <v>1500</v>
      </c>
      <c r="J7" s="239"/>
      <c r="K7" s="239"/>
      <c r="L7" s="239"/>
      <c r="M7" s="239"/>
      <c r="N7" s="239"/>
      <c r="O7" s="239"/>
    </row>
    <row r="8" spans="2:20" s="228" customFormat="1" ht="18" customHeight="1">
      <c r="B8" s="234" t="s">
        <v>429</v>
      </c>
      <c r="C8" s="234"/>
      <c r="D8" s="7">
        <v>2500</v>
      </c>
      <c r="E8" s="228" t="s">
        <v>1</v>
      </c>
      <c r="F8" s="238" t="s">
        <v>79</v>
      </c>
      <c r="G8" s="7">
        <v>750</v>
      </c>
      <c r="H8" s="240" t="s">
        <v>79</v>
      </c>
      <c r="I8" s="7">
        <v>500</v>
      </c>
      <c r="J8" s="241"/>
      <c r="K8" s="241"/>
      <c r="L8" s="241"/>
      <c r="M8" s="241"/>
      <c r="N8" s="241"/>
      <c r="O8" s="241"/>
    </row>
    <row r="9" spans="2:20" s="228" customFormat="1" ht="18" customHeight="1">
      <c r="B9" s="234" t="s">
        <v>431</v>
      </c>
      <c r="C9" s="234"/>
      <c r="D9" s="7">
        <v>0</v>
      </c>
      <c r="E9" s="228" t="s">
        <v>1</v>
      </c>
      <c r="F9" s="242" t="s">
        <v>81</v>
      </c>
      <c r="G9" s="243">
        <f>SUM(G7:G8)</f>
        <v>3250</v>
      </c>
      <c r="H9" s="244" t="s">
        <v>81</v>
      </c>
      <c r="I9" s="243">
        <f>SUM(I7:I8)</f>
        <v>2000</v>
      </c>
      <c r="J9" s="241"/>
      <c r="K9" s="241"/>
      <c r="L9" s="241"/>
      <c r="M9" s="241"/>
      <c r="N9" s="241"/>
      <c r="O9" s="241"/>
    </row>
    <row r="10" spans="2:20" s="228" customFormat="1" ht="18" customHeight="1">
      <c r="B10" s="234" t="s">
        <v>80</v>
      </c>
      <c r="C10" s="234"/>
      <c r="D10" s="7">
        <v>55000</v>
      </c>
      <c r="E10" s="228" t="s">
        <v>42</v>
      </c>
      <c r="F10" s="245" t="s">
        <v>432</v>
      </c>
      <c r="G10" s="245"/>
      <c r="H10" s="245"/>
      <c r="I10" s="245"/>
      <c r="J10" s="241"/>
      <c r="K10" s="241"/>
      <c r="L10" s="241"/>
      <c r="M10" s="241"/>
      <c r="N10" s="241"/>
      <c r="O10" s="241"/>
    </row>
    <row r="11" spans="2:20" s="228" customFormat="1" ht="18" customHeight="1">
      <c r="B11" s="246"/>
      <c r="C11" s="246"/>
      <c r="D11" s="247"/>
      <c r="J11" s="241"/>
      <c r="K11" s="241"/>
      <c r="L11" s="241"/>
      <c r="M11" s="241"/>
      <c r="N11" s="241"/>
      <c r="O11" s="241"/>
    </row>
    <row r="12" spans="2:20" s="228" customFormat="1" ht="18" customHeight="1">
      <c r="B12" s="248" t="s">
        <v>433</v>
      </c>
      <c r="C12" s="248"/>
      <c r="D12" s="248"/>
      <c r="F12" s="249" t="s">
        <v>695</v>
      </c>
      <c r="G12" s="249"/>
      <c r="H12" s="249"/>
      <c r="I12" s="249"/>
      <c r="J12" s="241"/>
      <c r="K12" s="241"/>
      <c r="L12" s="241"/>
      <c r="M12" s="241"/>
      <c r="N12" s="241"/>
      <c r="O12" s="241"/>
    </row>
    <row r="13" spans="2:20" s="228" customFormat="1" ht="18" customHeight="1">
      <c r="B13" s="248"/>
      <c r="C13" s="248"/>
      <c r="D13" s="248"/>
      <c r="F13" s="249"/>
      <c r="G13" s="249"/>
      <c r="H13" s="249"/>
      <c r="I13" s="249"/>
      <c r="J13" s="241"/>
      <c r="K13" s="241"/>
      <c r="L13" s="241"/>
      <c r="M13" s="241"/>
      <c r="N13" s="241"/>
      <c r="O13" s="241"/>
    </row>
    <row r="14" spans="2:20" s="228" customFormat="1" ht="18" customHeight="1">
      <c r="B14" s="248"/>
      <c r="C14" s="248"/>
      <c r="D14" s="248"/>
      <c r="F14" s="249"/>
      <c r="G14" s="249"/>
      <c r="H14" s="249"/>
      <c r="I14" s="249"/>
      <c r="P14" s="239"/>
    </row>
    <row r="15" spans="2:20" s="228" customFormat="1" ht="15" customHeight="1">
      <c r="B15" s="233" t="s">
        <v>82</v>
      </c>
      <c r="C15" s="233"/>
      <c r="D15" s="233"/>
      <c r="G15" s="250" t="s">
        <v>77</v>
      </c>
      <c r="H15" s="250" t="s">
        <v>78</v>
      </c>
    </row>
    <row r="16" spans="2:20" s="228" customFormat="1" ht="15" customHeight="1">
      <c r="B16" s="251" t="s">
        <v>83</v>
      </c>
      <c r="C16" s="251" t="s">
        <v>84</v>
      </c>
      <c r="D16" s="251" t="s">
        <v>85</v>
      </c>
      <c r="F16" s="252" t="s">
        <v>83</v>
      </c>
      <c r="G16" s="253" t="s">
        <v>86</v>
      </c>
      <c r="H16" s="254"/>
      <c r="P16" s="232" t="s">
        <v>87</v>
      </c>
      <c r="Q16" s="232" t="s">
        <v>88</v>
      </c>
      <c r="R16" s="232" t="s">
        <v>89</v>
      </c>
      <c r="S16" s="232" t="s">
        <v>90</v>
      </c>
      <c r="T16" s="232" t="s">
        <v>91</v>
      </c>
    </row>
    <row r="17" spans="2:20" s="228" customFormat="1" ht="15" customHeight="1">
      <c r="B17" s="255" t="s">
        <v>92</v>
      </c>
      <c r="C17" s="255"/>
      <c r="D17" s="255"/>
      <c r="F17" s="256" t="s">
        <v>92</v>
      </c>
      <c r="G17" s="257" t="s">
        <v>93</v>
      </c>
      <c r="H17" s="258"/>
    </row>
    <row r="18" spans="2:20" s="228" customFormat="1" ht="15" customHeight="1">
      <c r="B18" s="259">
        <v>0</v>
      </c>
      <c r="C18" s="260">
        <f>IF(OR($D$6="",$D$7="",$D$8="",$D$9="",$D$10="",$G$7="",$G$8="",$I$7="",$I$8=""),"FAIL: REQUIRED INPUT",IF(NOT(AND(ISNUMBER($D$6),ISNUMBER($D$7),ISNUMBER($D$8),ISNUMBER($D$9),ISNUMBER($D$10),ISNUMBER($G$7),ISNUMBER($G$8),ISNUMBER($I$7),ISNUMBER($I$8))),"FAIL: NON-NUMERIC INPUT",IF(OR($D$6&lt;=0,$D$7&lt;=0,$D$8&lt;0,$D$9&lt;0),"FAIL: INVALID GEOMETRY",IF(OR($D$10&lt;=0,$G$7&lt;0,$G$8&lt;0,$I$7&lt;0,$I$8&lt;0),"FAIL: INVALID WEIGHT",IF(ABS(R18)&lt;=1,"FAIL: COINCIDENT SUPPORTS",IF(R18&lt;0,"FAIL: INVALID GEOMETRY",MIN(($D$10*P18/R18)+$G$9,$D$10+$G$9)))))))</f>
        <v>28250</v>
      </c>
      <c r="D18" s="260">
        <f>IF(LEFT(C18,5)="FAIL:",C18,IF(C18="","",MAX(0,($D$10+$G$9-C18)+$I$9)))</f>
        <v>32000</v>
      </c>
      <c r="F18" s="259">
        <v>0</v>
      </c>
      <c r="G18" s="260">
        <f>IF(LEFT(C18,5)="FAIL:",C18,IF(C18="","",C18*1.2))</f>
        <v>33900</v>
      </c>
      <c r="H18" s="260">
        <f>IF(LEFT(D18,5)="FAIL:",D18,IF(D18="",IF(FALSE,0,""),D18*1.2))</f>
        <v>38400</v>
      </c>
      <c r="P18" s="239">
        <f t="shared" ref="P18:P39" si="0">($D$8*S18+$D$7*T18)</f>
        <v>10000</v>
      </c>
      <c r="Q18" s="239">
        <f t="shared" ref="Q18:Q39" si="1">($D$6*T18-$D$9*S18)</f>
        <v>12000</v>
      </c>
      <c r="R18" s="239">
        <f t="shared" ref="R18:R39" si="2">(P18+Q18)</f>
        <v>22000</v>
      </c>
      <c r="S18" s="261">
        <f t="shared" ref="S18" si="3">(SIN((B18/180)*PI()))</f>
        <v>0</v>
      </c>
      <c r="T18" s="261">
        <f t="shared" ref="T18" si="4">(COS((B18/180)*PI()))</f>
        <v>1</v>
      </c>
    </row>
    <row r="19" spans="2:20" s="228" customFormat="1" ht="15" customHeight="1">
      <c r="B19" s="259">
        <v>30</v>
      </c>
      <c r="C19" s="260">
        <f>IF(OR($D$6="",$D$7="",$D$8="",$D$9="",$D$10="",$G$7="",$G$8="",$I$7="",$I$8=""),"FAIL: REQUIRED INPUT",IF(NOT(AND(ISNUMBER($D$6),ISNUMBER($D$7),ISNUMBER($D$8),ISNUMBER($D$9),ISNUMBER($D$10),ISNUMBER($G$7),ISNUMBER($G$8),ISNUMBER($I$7),ISNUMBER($I$8))),"FAIL: NON-NUMERIC INPUT",IF(OR($D$6&lt;=0,$D$7&lt;=0,$D$8&lt;0,$D$9&lt;0),"FAIL: INVALID GEOMETRY",IF(OR($D$10&lt;=0,$G$7&lt;0,$G$8&lt;0,$I$7&lt;0,$I$8&lt;0),"FAIL: INVALID WEIGHT",IF(OR(C18="",AND(ISNUMBER(C18),C18&gt;=$D$10+$G$9)),"",IF(ABS(R19)&lt;=1,"FAIL: COINCIDENT SUPPORTS",IF(R19&lt;0,"FAIL: INVALID GEOMETRY",MIN(($D$10*P19/R19)+$G$9,$D$10+$G$9))))))))</f>
        <v>30097.057812546187</v>
      </c>
      <c r="D19" s="260">
        <f>IF(LEFT(C19,5)="FAIL:",C19,IF(C19="",IF(ISNUMBER(C18),0,""),MAX(0,($D$10+$G$9-C19)+$I$9)))</f>
        <v>30152.942187453813</v>
      </c>
      <c r="E19" s="239"/>
      <c r="F19" s="259">
        <v>30</v>
      </c>
      <c r="G19" s="260">
        <f>IF(LEFT(C19,5)="FAIL:",C19,IF(C19="","",C19*1.2))</f>
        <v>36116.469375055422</v>
      </c>
      <c r="H19" s="260">
        <f>IF(LEFT(D19,5)="FAIL:",D19,IF(D19="",IF(AND(ISNUMBER(D18),D18&gt;0),0,""),D19*1.2))</f>
        <v>36183.530624944571</v>
      </c>
      <c r="P19" s="239">
        <f t="shared" si="0"/>
        <v>9910.2540378443864</v>
      </c>
      <c r="Q19" s="239">
        <f t="shared" si="1"/>
        <v>10392.304845413264</v>
      </c>
      <c r="R19" s="239">
        <f t="shared" si="2"/>
        <v>20302.55888325765</v>
      </c>
      <c r="S19" s="261">
        <f>(SIN((B19/180)*PI()))</f>
        <v>0.49999999999999994</v>
      </c>
      <c r="T19" s="261">
        <f>(COS((B19/180)*PI()))</f>
        <v>0.86602540378443871</v>
      </c>
    </row>
    <row r="20" spans="2:20" s="228" customFormat="1" ht="15" customHeight="1">
      <c r="B20" s="259">
        <v>45</v>
      </c>
      <c r="C20" s="260">
        <f>IF(OR($D$6="",$D$7="",$D$8="",$D$9="",$D$10="",$G$7="",$G$8="",$I$7="",$I$8=""),"FAIL: REQUIRED INPUT",IF(NOT(AND(ISNUMBER($D$6),ISNUMBER($D$7),ISNUMBER($D$8),ISNUMBER($D$9),ISNUMBER($D$10),ISNUMBER($G$7),ISNUMBER($G$8),ISNUMBER($I$7),ISNUMBER($I$8))),"FAIL: NON-NUMERIC INPUT",IF(OR($D$6&lt;=0,$D$7&lt;=0,$D$8&lt;0,$D$9&lt;0),"FAIL: INVALID GEOMETRY",IF(OR($D$10&lt;=0,$G$7&lt;0,$G$8&lt;0,$I$7&lt;0,$I$8&lt;0),"FAIL: INVALID WEIGHT",IF(OR(C19="",AND(ISNUMBER(C19),C19&gt;=$D$10+$G$9)),"",IF(ABS(R20)&lt;=1,"FAIL: COINCIDENT SUPPORTS",IF(R20&lt;0,"FAIL: INVALID GEOMETRY",MIN(($D$10*P20/R20)+$G$9,$D$10+$G$9))))))))</f>
        <v>31311.224489795921</v>
      </c>
      <c r="D20" s="260">
        <f>IF(LEFT(C20,5)="FAIL:",C20,IF(C20="",IF(ISNUMBER(C19),0,""),MAX(0,($D$10+$G$9-C20)+$I$9)))</f>
        <v>28938.775510204079</v>
      </c>
      <c r="E20" s="239"/>
      <c r="F20" s="259">
        <v>45</v>
      </c>
      <c r="G20" s="260">
        <f>IF(LEFT(C20,5)="FAIL:",C20,IF(C20="","",C20*1.2))</f>
        <v>37573.469387755104</v>
      </c>
      <c r="H20" s="260">
        <f>IF(LEFT(D20,5)="FAIL:",D20,IF(D20="",IF(AND(ISNUMBER(D19),D19&gt;0),0,""),D20*1.2))</f>
        <v>34726.530612244896</v>
      </c>
      <c r="P20" s="239">
        <f t="shared" si="0"/>
        <v>8838.834764831845</v>
      </c>
      <c r="Q20" s="239">
        <f t="shared" si="1"/>
        <v>8485.2813742385715</v>
      </c>
      <c r="R20" s="239">
        <f t="shared" si="2"/>
        <v>17324.116139070415</v>
      </c>
      <c r="S20" s="261">
        <f>(SIN((B20/180)*PI()))</f>
        <v>0.70710678118654746</v>
      </c>
      <c r="T20" s="261">
        <f>(COS((B20/180)*PI()))</f>
        <v>0.70710678118654757</v>
      </c>
    </row>
    <row r="21" spans="2:20" s="228" customFormat="1" ht="15" customHeight="1">
      <c r="B21" s="259">
        <v>50</v>
      </c>
      <c r="C21" s="260">
        <f>IF(OR($D$6="",$D$7="",$D$8="",$D$9="",$D$10="",$G$7="",$G$8="",$I$7="",$I$8=""),"FAIL: REQUIRED INPUT",IF(NOT(AND(ISNUMBER($D$6),ISNUMBER($D$7),ISNUMBER($D$8),ISNUMBER($D$9),ISNUMBER($D$10),ISNUMBER($G$7),ISNUMBER($G$8),ISNUMBER($I$7),ISNUMBER($I$8))),"FAIL: NON-NUMERIC INPUT",IF(OR($D$6&lt;=0,$D$7&lt;=0,$D$8&lt;0,$D$9&lt;0),"FAIL: INVALID GEOMETRY",IF(OR($D$10&lt;=0,$G$7&lt;0,$G$8&lt;0,$I$7&lt;0,$I$8&lt;0),"FAIL: INVALID WEIGHT",IF(OR(C20="",AND(ISNUMBER(C20),C20&gt;=$D$10+$G$9)),"",IF(ABS(R21)&lt;=1,"FAIL: COINCIDENT SUPPORTS",IF(R21&lt;0,"FAIL: INVALID GEOMETRY",MIN(($D$10*P21/R21)+$G$9,$D$10+$G$9))))))))</f>
        <v>31828.211516777774</v>
      </c>
      <c r="D21" s="260">
        <f>IF(LEFT(C21,5)="FAIL:",C21,IF(C21="",IF(ISNUMBER(C20),0,""),MAX(0,($D$10+$G$9-C21)+$I$9)))</f>
        <v>28421.788483222226</v>
      </c>
      <c r="E21" s="239"/>
      <c r="F21" s="259">
        <v>50</v>
      </c>
      <c r="G21" s="260">
        <f>IF(LEFT(C21,5)="FAIL:",C21,IF(C21="","",C21*1.2))</f>
        <v>38193.853820133329</v>
      </c>
      <c r="H21" s="260">
        <f>IF(LEFT(D21,5)="FAIL:",D21,IF(D21="",IF(AND(ISNUMBER(D20),D20&gt;0),0,""),D21*1.2))</f>
        <v>34106.146179866671</v>
      </c>
      <c r="P21" s="239">
        <f t="shared" si="0"/>
        <v>8342.9872046628388</v>
      </c>
      <c r="Q21" s="239">
        <f t="shared" si="1"/>
        <v>7713.4513162384719</v>
      </c>
      <c r="R21" s="239">
        <f t="shared" si="2"/>
        <v>16056.438520901311</v>
      </c>
      <c r="S21" s="261">
        <f>(SIN((B21/180)*PI()))</f>
        <v>0.76604444311897801</v>
      </c>
      <c r="T21" s="261">
        <f>(COS((B21/180)*PI()))</f>
        <v>0.64278760968653936</v>
      </c>
    </row>
    <row r="22" spans="2:20" s="228" customFormat="1" ht="15" customHeight="1">
      <c r="B22" s="259">
        <v>60</v>
      </c>
      <c r="C22" s="260">
        <f>IF(OR($D$6="",$D$7="",$D$8="",$D$9="",$D$10="",$G$7="",$G$8="",$I$7="",$I$8=""),"FAIL: REQUIRED INPUT",IF(NOT(AND(ISNUMBER($D$6),ISNUMBER($D$7),ISNUMBER($D$8),ISNUMBER($D$9),ISNUMBER($D$10),ISNUMBER($G$7),ISNUMBER($G$8),ISNUMBER($I$7),ISNUMBER($I$8))),"FAIL: NON-NUMERIC INPUT",IF(OR($D$6&lt;=0,$D$7&lt;=0,$D$8&lt;0,$D$9&lt;0),"FAIL: INVALID GEOMETRY",IF(OR($D$10&lt;=0,$G$7&lt;0,$G$8&lt;0,$I$7&lt;0,$I$8&lt;0),"FAIL: INVALID WEIGHT",IF(OR(C21="",AND(ISNUMBER(C21),C21&gt;=$D$10+$G$9)),"",IF(ABS(R22)&lt;=1,"FAIL: COINCIDENT SUPPORTS",IF(R22&lt;0,"FAIL: INVALID GEOMETRY",MIN(($D$10*P22/R22)+$G$9,$D$10+$G$9))))))))</f>
        <v>33183.656813516704</v>
      </c>
      <c r="D22" s="260">
        <f>IF(LEFT(C22,5)="FAIL:",C22,IF(C22="",IF(ISNUMBER(C21),0,""),MAX(0,($D$10+$G$9-C22)+$I$9)))</f>
        <v>27066.343186483296</v>
      </c>
      <c r="E22" s="239"/>
      <c r="F22" s="259">
        <v>60</v>
      </c>
      <c r="G22" s="260">
        <f>IF(LEFT(C22,5)="FAIL:",C22,IF(C22="","",C22*1.2))</f>
        <v>39820.38817622004</v>
      </c>
      <c r="H22" s="260">
        <f>IF(LEFT(D22,5)="FAIL:",D22,IF(D22="",IF(AND(ISNUMBER(D21),D21&gt;0),0,""),D22*1.2))</f>
        <v>32479.611823779953</v>
      </c>
      <c r="P22" s="239">
        <f t="shared" si="0"/>
        <v>7165.0635094610971</v>
      </c>
      <c r="Q22" s="239">
        <f t="shared" si="1"/>
        <v>6000.0000000000009</v>
      </c>
      <c r="R22" s="239">
        <f t="shared" si="2"/>
        <v>13165.063509461099</v>
      </c>
      <c r="S22" s="261">
        <f>(SIN((B22/180)*PI()))</f>
        <v>0.8660254037844386</v>
      </c>
      <c r="T22" s="261">
        <f>(COS((B22/180)*PI()))</f>
        <v>0.50000000000000011</v>
      </c>
    </row>
    <row r="23" spans="2:20" s="228" customFormat="1" ht="15" customHeight="1">
      <c r="B23" s="259">
        <v>70</v>
      </c>
      <c r="C23" s="260">
        <f>IF(OR($D$6="",$D$7="",$D$8="",$D$9="",$D$10="",$G$7="",$G$8="",$I$7="",$I$8=""),"FAIL: REQUIRED INPUT",IF(NOT(AND(ISNUMBER($D$6),ISNUMBER($D$7),ISNUMBER($D$8),ISNUMBER($D$9),ISNUMBER($D$10),ISNUMBER($G$7),ISNUMBER($G$8),ISNUMBER($I$7),ISNUMBER($I$8))),"FAIL: NON-NUMERIC INPUT",IF(OR($D$6&lt;=0,$D$7&lt;=0,$D$8&lt;0,$D$9&lt;0),"FAIL: INVALID GEOMETRY",IF(OR($D$10&lt;=0,$G$7&lt;0,$G$8&lt;0,$I$7&lt;0,$I$8&lt;0),"FAIL: INVALID WEIGHT",IF(OR(C22="",AND(ISNUMBER(C22),C22&gt;=$D$10+$G$9)),"",IF(ABS(R23)&lt;=1,"FAIL: COINCIDENT SUPPORTS",IF(R23&lt;0,"FAIL: INVALID GEOMETRY",MIN(($D$10*P23/R23)+$G$9,$D$10+$G$9))))))))</f>
        <v>35387.86393249614</v>
      </c>
      <c r="D23" s="260">
        <f>IF(LEFT(C23,5)="FAIL:",C23,IF(C23="",IF(ISNUMBER(C22),0,""),MAX(0,($D$10+$G$9-C23)+$I$9)))</f>
        <v>24862.13606750386</v>
      </c>
      <c r="E23" s="239"/>
      <c r="F23" s="259">
        <v>70</v>
      </c>
      <c r="G23" s="260">
        <f>IF(LEFT(C23,5)="FAIL:",C23,IF(C23="","",C23*1.2))</f>
        <v>42465.43671899537</v>
      </c>
      <c r="H23" s="260">
        <f>IF(LEFT(D23,5)="FAIL:",D23,IF(D23="",IF(AND(ISNUMBER(D22),D22&gt;0),0,""),D23*1.2))</f>
        <v>29834.56328100463</v>
      </c>
      <c r="P23" s="239">
        <f t="shared" si="0"/>
        <v>5769.4329852214596</v>
      </c>
      <c r="Q23" s="239">
        <f t="shared" si="1"/>
        <v>4104.2417199080255</v>
      </c>
      <c r="R23" s="239">
        <f t="shared" si="2"/>
        <v>9873.6747051294842</v>
      </c>
      <c r="S23" s="261">
        <f t="shared" ref="S23:S39" si="5">(SIN((B23/180)*PI()))</f>
        <v>0.93969262078590832</v>
      </c>
      <c r="T23" s="261">
        <f t="shared" ref="T23:T39" si="6">(COS((B23/180)*PI()))</f>
        <v>0.34202014332566882</v>
      </c>
    </row>
    <row r="24" spans="2:20" s="228" customFormat="1" ht="15" customHeight="1">
      <c r="B24" s="259">
        <v>75</v>
      </c>
      <c r="C24" s="260">
        <f>IF(OR($D$6="",$D$7="",$D$8="",$D$9="",$D$10="",$G$7="",$G$8="",$I$7="",$I$8=""),"FAIL: REQUIRED INPUT",IF(NOT(AND(ISNUMBER($D$6),ISNUMBER($D$7),ISNUMBER($D$8),ISNUMBER($D$9),ISNUMBER($D$10),ISNUMBER($G$7),ISNUMBER($G$8),ISNUMBER($I$7),ISNUMBER($I$8))),"FAIL: NON-NUMERIC INPUT",IF(OR($D$6&lt;=0,$D$7&lt;=0,$D$8&lt;0,$D$9&lt;0),"FAIL: INVALID GEOMETRY",IF(OR($D$10&lt;=0,$G$7&lt;0,$G$8&lt;0,$I$7&lt;0,$I$8&lt;0),"FAIL: INVALID WEIGHT",IF(OR(C23="",AND(ISNUMBER(C23),C23&gt;=$D$10+$G$9)),"",IF(ABS(R24)&lt;=1,"FAIL: COINCIDENT SUPPORTS",IF(R24&lt;0,"FAIL: INVALID GEOMETRY",MIN(($D$10*P24/R24)+$G$9,$D$10+$G$9))))))))</f>
        <v>37184.014547678496</v>
      </c>
      <c r="D24" s="260">
        <f>IF(LEFT(C24,5)="FAIL:",C24,IF(C24="",IF(ISNUMBER(C23),0,""),MAX(0,($D$10+$G$9-C24)+$I$9)))</f>
        <v>23065.985452321504</v>
      </c>
      <c r="E24" s="239"/>
      <c r="F24" s="259">
        <v>75</v>
      </c>
      <c r="G24" s="260">
        <f>IF(LEFT(C24,5)="FAIL:",C24,IF(C24="","",C24*1.2))</f>
        <v>44620.817457214194</v>
      </c>
      <c r="H24" s="260">
        <f>IF(LEFT(D24,5)="FAIL:",D24,IF(D24="",IF(AND(ISNUMBER(D23),D23&gt;0),0,""),D24*1.2))</f>
        <v>27679.182542785802</v>
      </c>
      <c r="P24" s="239">
        <f t="shared" si="0"/>
        <v>5003.0050167478785</v>
      </c>
      <c r="Q24" s="239">
        <f t="shared" si="1"/>
        <v>3105.8285412302489</v>
      </c>
      <c r="R24" s="239">
        <f t="shared" si="2"/>
        <v>8108.8335579781269</v>
      </c>
      <c r="S24" s="261">
        <f t="shared" si="5"/>
        <v>0.96592582628906831</v>
      </c>
      <c r="T24" s="261">
        <f t="shared" si="6"/>
        <v>0.25881904510252074</v>
      </c>
    </row>
    <row r="25" spans="2:20" s="228" customFormat="1" ht="15" customHeight="1">
      <c r="B25" s="259">
        <v>76</v>
      </c>
      <c r="C25" s="260">
        <f>IF(OR($D$6="",$D$7="",$D$8="",$D$9="",$D$10="",$G$7="",$G$8="",$I$7="",$I$8=""),"FAIL: REQUIRED INPUT",IF(NOT(AND(ISNUMBER($D$6),ISNUMBER($D$7),ISNUMBER($D$8),ISNUMBER($D$9),ISNUMBER($D$10),ISNUMBER($G$7),ISNUMBER($G$8),ISNUMBER($I$7),ISNUMBER($I$8))),"FAIL: NON-NUMERIC INPUT",IF(OR($D$6&lt;=0,$D$7&lt;=0,$D$8&lt;0,$D$9&lt;0),"FAIL: INVALID GEOMETRY",IF(OR($D$10&lt;=0,$G$7&lt;0,$G$8&lt;0,$I$7&lt;0,$I$8&lt;0),"FAIL: INVALID WEIGHT",IF(OR(C24="",AND(ISNUMBER(C24),C24&gt;=$D$10+$G$9)),"",IF(ABS(R25)&lt;=1,"FAIL: COINCIDENT SUPPORTS",IF(R25&lt;0,"FAIL: INVALID GEOMETRY",MIN(($D$10*P25/R25)+$G$9,$D$10+$G$9))))))))</f>
        <v>37642.35700230379</v>
      </c>
      <c r="D25" s="260">
        <f>IF(LEFT(C25,5)="FAIL:",C25,IF(C25="",IF(ISNUMBER(C24),0,""),MAX(0,($D$10+$G$9-C25)+$I$9)))</f>
        <v>22607.64299769621</v>
      </c>
      <c r="E25" s="239"/>
      <c r="F25" s="259">
        <v>76</v>
      </c>
      <c r="G25" s="260">
        <f>IF(LEFT(C25,5)="FAIL:",C25,IF(C25="","",C25*1.2))</f>
        <v>45170.82840276455</v>
      </c>
      <c r="H25" s="260">
        <f>IF(LEFT(D25,5)="FAIL:",D25,IF(D25="",IF(AND(ISNUMBER(D24),D24&gt;0),0,""),D25*1.2))</f>
        <v>27129.17159723545</v>
      </c>
      <c r="J25" s="248" t="s">
        <v>802</v>
      </c>
      <c r="K25" s="248"/>
      <c r="L25" s="248"/>
      <c r="M25" s="248"/>
      <c r="N25" s="248"/>
      <c r="P25" s="239">
        <f t="shared" si="0"/>
        <v>4844.958271686668</v>
      </c>
      <c r="Q25" s="239">
        <f t="shared" si="1"/>
        <v>2903.062747196012</v>
      </c>
      <c r="R25" s="239">
        <f t="shared" si="2"/>
        <v>7748.0210188826804</v>
      </c>
      <c r="S25" s="261">
        <f t="shared" si="5"/>
        <v>0.97029572627599647</v>
      </c>
      <c r="T25" s="261">
        <f t="shared" si="6"/>
        <v>0.24192189559966767</v>
      </c>
    </row>
    <row r="26" spans="2:20" s="228" customFormat="1" ht="15" customHeight="1">
      <c r="B26" s="259">
        <v>77</v>
      </c>
      <c r="C26" s="260">
        <f>IF(OR($D$6="",$D$7="",$D$8="",$D$9="",$D$10="",$G$7="",$G$8="",$I$7="",$I$8=""),"FAIL: REQUIRED INPUT",IF(NOT(AND(ISNUMBER($D$6),ISNUMBER($D$7),ISNUMBER($D$8),ISNUMBER($D$9),ISNUMBER($D$10),ISNUMBER($G$7),ISNUMBER($G$8),ISNUMBER($I$7),ISNUMBER($I$8))),"FAIL: NON-NUMERIC INPUT",IF(OR($D$6&lt;=0,$D$7&lt;=0,$D$8&lt;0,$D$9&lt;0),"FAIL: INVALID GEOMETRY",IF(OR($D$10&lt;=0,$G$7&lt;0,$G$8&lt;0,$I$7&lt;0,$I$8&lt;0),"FAIL: INVALID WEIGHT",IF(OR(C25="",AND(ISNUMBER(C25),C25&gt;=$D$10+$G$9)),"",IF(ABS(R26)&lt;=1,"FAIL: COINCIDENT SUPPORTS",IF(R26&lt;0,"FAIL: INVALID GEOMETRY",MIN(($D$10*P26/R26)+$G$9,$D$10+$G$9))))))))</f>
        <v>38145.633778911266</v>
      </c>
      <c r="D26" s="260">
        <f>IF(LEFT(C26,5)="FAIL:",C26,IF(C26="",IF(ISNUMBER(C25),0,""),MAX(0,($D$10+$G$9-C26)+$I$9)))</f>
        <v>22104.366221088734</v>
      </c>
      <c r="E26" s="239"/>
      <c r="F26" s="259">
        <v>77</v>
      </c>
      <c r="G26" s="260">
        <f>IF(LEFT(C26,5)="FAIL:",C26,IF(C26="","",C26*1.2))</f>
        <v>45774.760534693516</v>
      </c>
      <c r="H26" s="260">
        <f>IF(LEFT(D26,5)="FAIL:",D26,IF(D26="",IF(AND(ISNUMBER(D25),D25&gt;0),0,""),D26*1.2))</f>
        <v>26525.23946530648</v>
      </c>
      <c r="J26" s="248"/>
      <c r="K26" s="248"/>
      <c r="L26" s="248"/>
      <c r="M26" s="248"/>
      <c r="N26" s="248"/>
      <c r="P26" s="239">
        <f t="shared" si="0"/>
        <v>4685.4357054017401</v>
      </c>
      <c r="Q26" s="239">
        <f t="shared" si="1"/>
        <v>2699.4126521263815</v>
      </c>
      <c r="R26" s="239">
        <f t="shared" si="2"/>
        <v>7384.8483575281216</v>
      </c>
      <c r="S26" s="261">
        <f t="shared" si="5"/>
        <v>0.97437006478523525</v>
      </c>
      <c r="T26" s="261">
        <f t="shared" si="6"/>
        <v>0.22495105434386514</v>
      </c>
    </row>
    <row r="27" spans="2:20" s="228" customFormat="1" ht="15" customHeight="1">
      <c r="B27" s="259">
        <v>78</v>
      </c>
      <c r="C27" s="260">
        <f>IF(OR($D$6="",$D$7="",$D$8="",$D$9="",$D$10="",$G$7="",$G$8="",$I$7="",$I$8=""),"FAIL: REQUIRED INPUT",IF(NOT(AND(ISNUMBER($D$6),ISNUMBER($D$7),ISNUMBER($D$8),ISNUMBER($D$9),ISNUMBER($D$10),ISNUMBER($G$7),ISNUMBER($G$8),ISNUMBER($I$7),ISNUMBER($I$8))),"FAIL: NON-NUMERIC INPUT",IF(OR($D$6&lt;=0,$D$7&lt;=0,$D$8&lt;0,$D$9&lt;0),"FAIL: INVALID GEOMETRY",IF(OR($D$10&lt;=0,$G$7&lt;0,$G$8&lt;0,$I$7&lt;0,$I$8&lt;0),"FAIL: INVALID WEIGHT",IF(OR(C26="",AND(ISNUMBER(C26),C26&gt;=$D$10+$G$9)),"",IF(ABS(R27)&lt;=1,"FAIL: COINCIDENT SUPPORTS",IF(R27&lt;0,"FAIL: INVALID GEOMETRY",MIN(($D$10*P27/R27)+$G$9,$D$10+$G$9))))))))</f>
        <v>38701.149134791405</v>
      </c>
      <c r="D27" s="260">
        <f>IF(LEFT(C27,5)="FAIL:",C27,IF(C27="",IF(ISNUMBER(C26),0,""),MAX(0,($D$10+$G$9-C27)+$I$9)))</f>
        <v>21548.850865208595</v>
      </c>
      <c r="E27" s="239"/>
      <c r="F27" s="259">
        <v>78</v>
      </c>
      <c r="G27" s="260">
        <f>IF(LEFT(C27,5)="FAIL:",C27,IF(C27="","",C27*1.2))</f>
        <v>46441.378961749688</v>
      </c>
      <c r="H27" s="260">
        <f>IF(LEFT(D27,5)="FAIL:",D27,IF(D27="",IF(AND(ISNUMBER(D26),D26&gt;0),0,""),D27*1.2))</f>
        <v>25858.621038250312</v>
      </c>
      <c r="J27" s="248"/>
      <c r="K27" s="248"/>
      <c r="L27" s="248"/>
      <c r="M27" s="248"/>
      <c r="N27" s="248"/>
      <c r="P27" s="239">
        <f t="shared" si="0"/>
        <v>4524.4859100121066</v>
      </c>
      <c r="Q27" s="239">
        <f t="shared" si="1"/>
        <v>2494.9402898131107</v>
      </c>
      <c r="R27" s="239">
        <f t="shared" si="2"/>
        <v>7019.4261998252168</v>
      </c>
      <c r="S27" s="261">
        <f t="shared" si="5"/>
        <v>0.97814760073380569</v>
      </c>
      <c r="T27" s="261">
        <f t="shared" si="6"/>
        <v>0.20791169081775923</v>
      </c>
    </row>
    <row r="28" spans="2:20" s="228" customFormat="1" ht="15" customHeight="1">
      <c r="B28" s="259">
        <v>79</v>
      </c>
      <c r="C28" s="260">
        <f>IF(OR($D$6="",$D$7="",$D$8="",$D$9="",$D$10="",$G$7="",$G$8="",$I$7="",$I$8=""),"FAIL: REQUIRED INPUT",IF(NOT(AND(ISNUMBER($D$6),ISNUMBER($D$7),ISNUMBER($D$8),ISNUMBER($D$9),ISNUMBER($D$10),ISNUMBER($G$7),ISNUMBER($G$8),ISNUMBER($I$7),ISNUMBER($I$8))),"FAIL: NON-NUMERIC INPUT",IF(OR($D$6&lt;=0,$D$7&lt;=0,$D$8&lt;0,$D$9&lt;0),"FAIL: INVALID GEOMETRY",IF(OR($D$10&lt;=0,$G$7&lt;0,$G$8&lt;0,$I$7&lt;0,$I$8&lt;0),"FAIL: INVALID WEIGHT",IF(OR(C27="",AND(ISNUMBER(C27),C27&gt;=$D$10+$G$9)),"",IF(ABS(R28)&lt;=1,"FAIL: COINCIDENT SUPPORTS",IF(R28&lt;0,"FAIL: INVALID GEOMETRY",MIN(($D$10*P28/R28)+$G$9,$D$10+$G$9))))))))</f>
        <v>39317.877846961033</v>
      </c>
      <c r="D28" s="260">
        <f>IF(LEFT(C28,5)="FAIL:",C28,IF(C28="",IF(ISNUMBER(C27),0,""),MAX(0,($D$10+$G$9-C28)+$I$9)))</f>
        <v>20932.122153038967</v>
      </c>
      <c r="E28" s="239"/>
      <c r="F28" s="259">
        <v>79</v>
      </c>
      <c r="G28" s="260">
        <f>IF(LEFT(C28,5)="FAIL:",C28,IF(C28="","",C28*1.2))</f>
        <v>47181.453416353237</v>
      </c>
      <c r="H28" s="260">
        <f>IF(LEFT(D28,5)="FAIL:",D28,IF(D28="",IF(AND(ISNUMBER(D27),D27&gt;0),0,""),D28*1.2))</f>
        <v>25118.546583646759</v>
      </c>
      <c r="J28" s="248"/>
      <c r="K28" s="248"/>
      <c r="L28" s="248"/>
      <c r="M28" s="248"/>
      <c r="N28" s="248"/>
      <c r="P28" s="239">
        <f t="shared" si="0"/>
        <v>4362.1579123846095</v>
      </c>
      <c r="Q28" s="239">
        <f t="shared" si="1"/>
        <v>2289.7079445185391</v>
      </c>
      <c r="R28" s="239">
        <f t="shared" si="2"/>
        <v>6651.8658569031486</v>
      </c>
      <c r="S28" s="261">
        <f t="shared" si="5"/>
        <v>0.98162718344766398</v>
      </c>
      <c r="T28" s="261">
        <f t="shared" si="6"/>
        <v>0.19080899537654492</v>
      </c>
    </row>
    <row r="29" spans="2:20" s="228" customFormat="1" ht="15" customHeight="1">
      <c r="B29" s="259">
        <v>80</v>
      </c>
      <c r="C29" s="260">
        <f>IF(OR($D$6="",$D$7="",$D$8="",$D$9="",$D$10="",$G$7="",$G$8="",$I$7="",$I$8=""),"FAIL: REQUIRED INPUT",IF(NOT(AND(ISNUMBER($D$6),ISNUMBER($D$7),ISNUMBER($D$8),ISNUMBER($D$9),ISNUMBER($D$10),ISNUMBER($G$7),ISNUMBER($G$8),ISNUMBER($I$7),ISNUMBER($I$8))),"FAIL: NON-NUMERIC INPUT",IF(OR($D$6&lt;=0,$D$7&lt;=0,$D$8&lt;0,$D$9&lt;0),"FAIL: INVALID GEOMETRY",IF(OR($D$10&lt;=0,$G$7&lt;0,$G$8&lt;0,$I$7&lt;0,$I$8&lt;0),"FAIL: INVALID WEIGHT",IF(OR(C28="",AND(ISNUMBER(C28),C28&gt;=$D$10+$G$9)),"",IF(ABS(R29)&lt;=1,"FAIL: COINCIDENT SUPPORTS",IF(R29&lt;0,"FAIL: INVALID GEOMETRY",MIN(($D$10*P29/R29)+$G$9,$D$10+$G$9))))))))</f>
        <v>40006.971960692965</v>
      </c>
      <c r="D29" s="260">
        <f>IF(LEFT(C29,5)="FAIL:",C29,IF(C29="",IF(ISNUMBER(C28),0,""),MAX(0,($D$10+$G$9-C29)+$I$9)))</f>
        <v>20243.028039307035</v>
      </c>
      <c r="E29" s="239"/>
      <c r="F29" s="259">
        <v>80</v>
      </c>
      <c r="G29" s="260">
        <f>IF(LEFT(C29,5)="FAIL:",C29,IF(C29="","",C29*1.2))</f>
        <v>48008.366352831559</v>
      </c>
      <c r="H29" s="260">
        <f>IF(LEFT(D29,5)="FAIL:",D29,IF(D29="",IF(AND(ISNUMBER(D28),D28&gt;0),0,""),D29*1.2))</f>
        <v>24291.633647168441</v>
      </c>
      <c r="J29" s="248"/>
      <c r="K29" s="248"/>
      <c r="L29" s="248"/>
      <c r="M29" s="248"/>
      <c r="N29" s="248"/>
      <c r="P29" s="239">
        <f t="shared" si="0"/>
        <v>4198.5011591998245</v>
      </c>
      <c r="Q29" s="239">
        <f t="shared" si="1"/>
        <v>2083.778132003165</v>
      </c>
      <c r="R29" s="239">
        <f t="shared" si="2"/>
        <v>6282.279291202989</v>
      </c>
      <c r="S29" s="261">
        <f t="shared" si="5"/>
        <v>0.98480775301220802</v>
      </c>
      <c r="T29" s="261">
        <f t="shared" si="6"/>
        <v>0.17364817766693041</v>
      </c>
    </row>
    <row r="30" spans="2:20" s="228" customFormat="1" ht="15" customHeight="1">
      <c r="B30" s="259">
        <v>81</v>
      </c>
      <c r="C30" s="260">
        <f>IF(OR($D$6="",$D$7="",$D$8="",$D$9="",$D$10="",$G$7="",$G$8="",$I$7="",$I$8=""),"FAIL: REQUIRED INPUT",IF(NOT(AND(ISNUMBER($D$6),ISNUMBER($D$7),ISNUMBER($D$8),ISNUMBER($D$9),ISNUMBER($D$10),ISNUMBER($G$7),ISNUMBER($G$8),ISNUMBER($I$7),ISNUMBER($I$8))),"FAIL: NON-NUMERIC INPUT",IF(OR($D$6&lt;=0,$D$7&lt;=0,$D$8&lt;0,$D$9&lt;0),"FAIL: INVALID GEOMETRY",IF(OR($D$10&lt;=0,$G$7&lt;0,$G$8&lt;0,$I$7&lt;0,$I$8&lt;0),"FAIL: INVALID WEIGHT",IF(OR(C29="",AND(ISNUMBER(C29),C29&gt;=$D$10+$G$9)),"",IF(ABS(R30)&lt;=1,"FAIL: COINCIDENT SUPPORTS",IF(R30&lt;0,"FAIL: INVALID GEOMETRY",MIN(($D$10*P30/R30)+$G$9,$D$10+$G$9))))))))</f>
        <v>40782.463912506224</v>
      </c>
      <c r="D30" s="260">
        <f>IF(LEFT(C30,5)="FAIL:",C30,IF(C30="",IF(ISNUMBER(C29),0,""),MAX(0,($D$10+$G$9-C30)+$I$9)))</f>
        <v>19467.536087493776</v>
      </c>
      <c r="E30" s="239"/>
      <c r="F30" s="259">
        <v>81</v>
      </c>
      <c r="G30" s="260">
        <f>IF(LEFT(C30,5)="FAIL:",C30,IF(C30="","",C30*1.2))</f>
        <v>48938.956695007466</v>
      </c>
      <c r="H30" s="260">
        <f>IF(LEFT(D30,5)="FAIL:",D30,IF(D30="",IF(AND(ISNUMBER(D29),D29&gt;0),0,""),D30*1.2))</f>
        <v>23361.04330499253</v>
      </c>
      <c r="J30" s="262"/>
      <c r="K30" s="262"/>
      <c r="L30" s="262"/>
      <c r="M30" s="262"/>
      <c r="N30" s="262"/>
      <c r="P30" s="239">
        <f t="shared" si="0"/>
        <v>4033.5655018901534</v>
      </c>
      <c r="Q30" s="239">
        <f t="shared" si="1"/>
        <v>1877.213580482771</v>
      </c>
      <c r="R30" s="239">
        <f t="shared" si="2"/>
        <v>5910.7790823729247</v>
      </c>
      <c r="S30" s="261">
        <f t="shared" si="5"/>
        <v>0.98768834059513777</v>
      </c>
      <c r="T30" s="261">
        <f t="shared" si="6"/>
        <v>0.15643446504023092</v>
      </c>
    </row>
    <row r="31" spans="2:20" s="228" customFormat="1" ht="15" customHeight="1">
      <c r="B31" s="259">
        <v>82</v>
      </c>
      <c r="C31" s="260">
        <f>IF(OR($D$6="",$D$7="",$D$8="",$D$9="",$D$10="",$G$7="",$G$8="",$I$7="",$I$8=""),"FAIL: REQUIRED INPUT",IF(NOT(AND(ISNUMBER($D$6),ISNUMBER($D$7),ISNUMBER($D$8),ISNUMBER($D$9),ISNUMBER($D$10),ISNUMBER($G$7),ISNUMBER($G$8),ISNUMBER($I$7),ISNUMBER($I$8))),"FAIL: NON-NUMERIC INPUT",IF(OR($D$6&lt;=0,$D$7&lt;=0,$D$8&lt;0,$D$9&lt;0),"FAIL: INVALID GEOMETRY",IF(OR($D$10&lt;=0,$G$7&lt;0,$G$8&lt;0,$I$7&lt;0,$I$8&lt;0),"FAIL: INVALID WEIGHT",IF(OR(C30="",AND(ISNUMBER(C30),C30&gt;=$D$10+$G$9)),"",IF(ABS(R31)&lt;=1,"FAIL: COINCIDENT SUPPORTS",IF(R31&lt;0,"FAIL: INVALID GEOMETRY",MIN(($D$10*P31/R31)+$G$9,$D$10+$G$9))))))))</f>
        <v>41662.260939895314</v>
      </c>
      <c r="D31" s="260">
        <f>IF(LEFT(C31,5)="FAIL:",C31,IF(C31="",IF(ISNUMBER(C30),0,""),MAX(0,($D$10+$G$9-C31)+$I$9)))</f>
        <v>18587.739060104686</v>
      </c>
      <c r="E31" s="239"/>
      <c r="F31" s="259">
        <v>82</v>
      </c>
      <c r="G31" s="260">
        <f>IF(LEFT(C31,5)="FAIL:",C31,IF(C31="","",C31*1.2))</f>
        <v>49994.713127874376</v>
      </c>
      <c r="H31" s="260">
        <f>IF(LEFT(D31,5)="FAIL:",D31,IF(D31="",IF(AND(ISNUMBER(D30),D30&gt;0),0,""),D31*1.2))</f>
        <v>22305.286872125624</v>
      </c>
      <c r="J31" s="262"/>
      <c r="K31" s="262"/>
      <c r="L31" s="262"/>
      <c r="M31" s="262"/>
      <c r="N31" s="262"/>
      <c r="P31" s="239">
        <f t="shared" si="0"/>
        <v>3867.4011814545802</v>
      </c>
      <c r="Q31" s="239">
        <f t="shared" si="1"/>
        <v>1670.0772115207856</v>
      </c>
      <c r="R31" s="239">
        <f t="shared" si="2"/>
        <v>5537.4783929753658</v>
      </c>
      <c r="S31" s="261">
        <f t="shared" si="5"/>
        <v>0.99026806874157036</v>
      </c>
      <c r="T31" s="261">
        <f t="shared" si="6"/>
        <v>0.13917310096006547</v>
      </c>
    </row>
    <row r="32" spans="2:20" s="228" customFormat="1" ht="15" customHeight="1">
      <c r="B32" s="259">
        <v>83</v>
      </c>
      <c r="C32" s="260">
        <f>IF(OR($D$6="",$D$7="",$D$8="",$D$9="",$D$10="",$G$7="",$G$8="",$I$7="",$I$8=""),"FAIL: REQUIRED INPUT",IF(NOT(AND(ISNUMBER($D$6),ISNUMBER($D$7),ISNUMBER($D$8),ISNUMBER($D$9),ISNUMBER($D$10),ISNUMBER($G$7),ISNUMBER($G$8),ISNUMBER($I$7),ISNUMBER($I$8))),"FAIL: NON-NUMERIC INPUT",IF(OR($D$6&lt;=0,$D$7&lt;=0,$D$8&lt;0,$D$9&lt;0),"FAIL: INVALID GEOMETRY",IF(OR($D$10&lt;=0,$G$7&lt;0,$G$8&lt;0,$I$7&lt;0,$I$8&lt;0),"FAIL: INVALID WEIGHT",IF(OR(C31="",AND(ISNUMBER(C31),C31&gt;=$D$10+$G$9)),"",IF(ABS(R32)&lt;=1,"FAIL: COINCIDENT SUPPORTS",IF(R32&lt;0,"FAIL: INVALID GEOMETRY",MIN(($D$10*P32/R32)+$G$9,$D$10+$G$9))))))))</f>
        <v>42669.582004995827</v>
      </c>
      <c r="D32" s="260">
        <f>IF(LEFT(C32,5)="FAIL:",C32,IF(C32="",IF(ISNUMBER(C31),0,""),MAX(0,($D$10+$G$9-C32)+$I$9)))</f>
        <v>17580.417995004173</v>
      </c>
      <c r="E32" s="239"/>
      <c r="F32" s="259">
        <v>83</v>
      </c>
      <c r="G32" s="260">
        <f>IF(LEFT(C32,5)="FAIL:",C32,IF(C32="","",C32*1.2))</f>
        <v>51203.498405994993</v>
      </c>
      <c r="H32" s="260">
        <f>IF(LEFT(D32,5)="FAIL:",D32,IF(D32="",IF(AND(ISNUMBER(D31),D31&gt;0),0,""),D32*1.2))</f>
        <v>21096.501594005007</v>
      </c>
      <c r="P32" s="239">
        <f t="shared" si="0"/>
        <v>3700.0588131547797</v>
      </c>
      <c r="Q32" s="239">
        <f t="shared" si="1"/>
        <v>1462.4321208617698</v>
      </c>
      <c r="R32" s="239">
        <f t="shared" si="2"/>
        <v>5162.4909340165495</v>
      </c>
      <c r="S32" s="261">
        <f t="shared" si="5"/>
        <v>0.99254615164132198</v>
      </c>
      <c r="T32" s="261">
        <f t="shared" si="6"/>
        <v>0.12186934340514749</v>
      </c>
    </row>
    <row r="33" spans="2:23" s="228" customFormat="1" ht="15" customHeight="1">
      <c r="B33" s="259">
        <v>84</v>
      </c>
      <c r="C33" s="260">
        <f>IF(OR($D$6="",$D$7="",$D$8="",$D$9="",$D$10="",$G$7="",$G$8="",$I$7="",$I$8=""),"FAIL: REQUIRED INPUT",IF(NOT(AND(ISNUMBER($D$6),ISNUMBER($D$7),ISNUMBER($D$8),ISNUMBER($D$9),ISNUMBER($D$10),ISNUMBER($G$7),ISNUMBER($G$8),ISNUMBER($I$7),ISNUMBER($I$8))),"FAIL: NON-NUMERIC INPUT",IF(OR($D$6&lt;=0,$D$7&lt;=0,$D$8&lt;0,$D$9&lt;0),"FAIL: INVALID GEOMETRY",IF(OR($D$10&lt;=0,$G$7&lt;0,$G$8&lt;0,$I$7&lt;0,$I$8&lt;0),"FAIL: INVALID WEIGHT",IF(OR(C32="",AND(ISNUMBER(C32),C32&gt;=$D$10+$G$9)),"",IF(ABS(R33)&lt;=1,"FAIL: COINCIDENT SUPPORTS",IF(R33&lt;0,"FAIL: INVALID GEOMETRY",MIN(($D$10*P33/R33)+$G$9,$D$10+$G$9))))))))</f>
        <v>43835.085376023962</v>
      </c>
      <c r="D33" s="260">
        <f>IF(LEFT(C33,5)="FAIL:",C33,IF(C33="",IF(ISNUMBER(C32),0,""),MAX(0,($D$10+$G$9-C33)+$I$9)))</f>
        <v>16414.914623976038</v>
      </c>
      <c r="E33" s="239"/>
      <c r="F33" s="259">
        <v>84</v>
      </c>
      <c r="G33" s="260">
        <f>IF(LEFT(C33,5)="FAIL:",C33,IF(C33="","",C33*1.2))</f>
        <v>52602.102451228755</v>
      </c>
      <c r="H33" s="260">
        <f>IF(LEFT(D33,5)="FAIL:",D33,IF(D33="",IF(AND(ISNUMBER(D32),D32&gt;0),0,""),D33*1.2))</f>
        <v>19697.897548771245</v>
      </c>
      <c r="P33" s="239">
        <f t="shared" si="0"/>
        <v>3531.5893710972177</v>
      </c>
      <c r="Q33" s="239">
        <f t="shared" si="1"/>
        <v>1254.3415592118415</v>
      </c>
      <c r="R33" s="239">
        <f t="shared" si="2"/>
        <v>4785.9309303090595</v>
      </c>
      <c r="S33" s="261">
        <f t="shared" si="5"/>
        <v>0.99452189536827329</v>
      </c>
      <c r="T33" s="261">
        <f t="shared" si="6"/>
        <v>0.10452846326765346</v>
      </c>
    </row>
    <row r="34" spans="2:23" s="228" customFormat="1" ht="15" customHeight="1">
      <c r="B34" s="259">
        <v>85</v>
      </c>
      <c r="C34" s="260">
        <f>IF(OR($D$6="",$D$7="",$D$8="",$D$9="",$D$10="",$G$7="",$G$8="",$I$7="",$I$8=""),"FAIL: REQUIRED INPUT",IF(NOT(AND(ISNUMBER($D$6),ISNUMBER($D$7),ISNUMBER($D$8),ISNUMBER($D$9),ISNUMBER($D$10),ISNUMBER($G$7),ISNUMBER($G$8),ISNUMBER($I$7),ISNUMBER($I$8))),"FAIL: NON-NUMERIC INPUT",IF(OR($D$6&lt;=0,$D$7&lt;=0,$D$8&lt;0,$D$9&lt;0),"FAIL: INVALID GEOMETRY",IF(OR($D$10&lt;=0,$G$7&lt;0,$G$8&lt;0,$I$7&lt;0,$I$8&lt;0),"FAIL: INVALID WEIGHT",IF(OR(C33="",AND(ISNUMBER(C33),C33&gt;=$D$10+$G$9)),"",IF(ABS(R34)&lt;=1,"FAIL: COINCIDENT SUPPORTS",IF(R34&lt;0,"FAIL: INVALID GEOMETRY",MIN(($D$10*P34/R34)+$G$9,$D$10+$G$9))))))))</f>
        <v>45200.10788657402</v>
      </c>
      <c r="D34" s="260">
        <f>IF(LEFT(C34,5)="FAIL:",C34,IF(C34="",IF(ISNUMBER(C33),0,""),MAX(0,($D$10+$G$9-C34)+$I$9)))</f>
        <v>15049.89211342598</v>
      </c>
      <c r="E34" s="239"/>
      <c r="F34" s="259">
        <v>85</v>
      </c>
      <c r="G34" s="260">
        <f>IF(LEFT(C34,5)="FAIL:",C34,IF(C34="","",C34*1.2))</f>
        <v>54240.129463888821</v>
      </c>
      <c r="H34" s="260">
        <f>IF(LEFT(D34,5)="FAIL:",D34,IF(D34="",IF(AND(ISNUMBER(D33),D33&gt;0),0,""),D34*1.2))</f>
        <v>18059.870536111175</v>
      </c>
      <c r="P34" s="239">
        <f t="shared" si="0"/>
        <v>3362.0441727059474</v>
      </c>
      <c r="Q34" s="239">
        <f t="shared" si="1"/>
        <v>1045.8689129719003</v>
      </c>
      <c r="R34" s="239">
        <f t="shared" si="2"/>
        <v>4407.9130856778474</v>
      </c>
      <c r="S34" s="261">
        <f t="shared" si="5"/>
        <v>0.99619469809174555</v>
      </c>
      <c r="T34" s="261">
        <f t="shared" si="6"/>
        <v>8.715574274765836E-2</v>
      </c>
    </row>
    <row r="35" spans="2:23" s="228" customFormat="1" ht="15" customHeight="1">
      <c r="B35" s="259">
        <v>86</v>
      </c>
      <c r="C35" s="260">
        <f>IF(OR($D$6="",$D$7="",$D$8="",$D$9="",$D$10="",$G$7="",$G$8="",$I$7="",$I$8=""),"FAIL: REQUIRED INPUT",IF(NOT(AND(ISNUMBER($D$6),ISNUMBER($D$7),ISNUMBER($D$8),ISNUMBER($D$9),ISNUMBER($D$10),ISNUMBER($G$7),ISNUMBER($G$8),ISNUMBER($I$7),ISNUMBER($I$8))),"FAIL: NON-NUMERIC INPUT",IF(OR($D$6&lt;=0,$D$7&lt;=0,$D$8&lt;0,$D$9&lt;0),"FAIL: INVALID GEOMETRY",IF(OR($D$10&lt;=0,$G$7&lt;0,$G$8&lt;0,$I$7&lt;0,$I$8&lt;0),"FAIL: INVALID WEIGHT",IF(OR(C34="",AND(ISNUMBER(C34),C34&gt;=$D$10+$G$9)),"",IF(ABS(R35)&lt;=1,"FAIL: COINCIDENT SUPPORTS",IF(R35&lt;0,"FAIL: INVALID GEOMETRY",MIN(($D$10*P35/R35)+$G$9,$D$10+$G$9))))))))</f>
        <v>46821.75818800056</v>
      </c>
      <c r="D35" s="260">
        <f>IF(LEFT(C35,5)="FAIL:",C35,IF(C35="",IF(ISNUMBER(C34),0,""),MAX(0,($D$10+$G$9-C35)+$I$9)))</f>
        <v>13428.24181199944</v>
      </c>
      <c r="E35" s="239"/>
      <c r="F35" s="259">
        <v>86</v>
      </c>
      <c r="G35" s="260">
        <f>IF(LEFT(C35,5)="FAIL:",C35,IF(C35="","",C35*1.2))</f>
        <v>56186.109825600674</v>
      </c>
      <c r="H35" s="260">
        <f>IF(LEFT(D35,5)="FAIL:",D35,IF(D35="",IF(AND(ISNUMBER(D34),D34&gt;0),0,""),D35*1.2))</f>
        <v>16113.890174399326</v>
      </c>
      <c r="P35" s="239">
        <f t="shared" si="0"/>
        <v>3191.474863090813</v>
      </c>
      <c r="Q35" s="239">
        <f t="shared" si="1"/>
        <v>837.07768492950277</v>
      </c>
      <c r="R35" s="239">
        <f t="shared" si="2"/>
        <v>4028.552548020316</v>
      </c>
      <c r="S35" s="261">
        <f t="shared" si="5"/>
        <v>0.9975640502598242</v>
      </c>
      <c r="T35" s="261">
        <f t="shared" si="6"/>
        <v>6.9756473744125233E-2</v>
      </c>
    </row>
    <row r="36" spans="2:23" s="228" customFormat="1" ht="15" customHeight="1">
      <c r="B36" s="259">
        <v>87</v>
      </c>
      <c r="C36" s="260">
        <f>IF(OR($D$6="",$D$7="",$D$8="",$D$9="",$D$10="",$G$7="",$G$8="",$I$7="",$I$8=""),"FAIL: REQUIRED INPUT",IF(NOT(AND(ISNUMBER($D$6),ISNUMBER($D$7),ISNUMBER($D$8),ISNUMBER($D$9),ISNUMBER($D$10),ISNUMBER($G$7),ISNUMBER($G$8),ISNUMBER($I$7),ISNUMBER($I$8))),"FAIL: NON-NUMERIC INPUT",IF(OR($D$6&lt;=0,$D$7&lt;=0,$D$8&lt;0,$D$9&lt;0),"FAIL: INVALID GEOMETRY",IF(OR($D$10&lt;=0,$G$7&lt;0,$G$8&lt;0,$I$7&lt;0,$I$8&lt;0),"FAIL: INVALID WEIGHT",IF(OR(C35="",AND(ISNUMBER(C35),C35&gt;=$D$10+$G$9)),"",IF(ABS(R36)&lt;=1,"FAIL: COINCIDENT SUPPORTS",IF(R36&lt;0,"FAIL: INVALID GEOMETRY",MIN(($D$10*P36/R36)+$G$9,$D$10+$G$9))))))))</f>
        <v>48781.232533421091</v>
      </c>
      <c r="D36" s="260">
        <f>IF(LEFT(C36,5)="FAIL:",C36,IF(C36="",IF(ISNUMBER(C35),0,""),MAX(0,($D$10+$G$9-C36)+$I$9)))</f>
        <v>11468.767466578909</v>
      </c>
      <c r="E36" s="239"/>
      <c r="F36" s="259">
        <v>87</v>
      </c>
      <c r="G36" s="260">
        <f>IF(LEFT(C36,5)="FAIL:",C36,IF(C36="","",C36*1.2))</f>
        <v>58537.479040105311</v>
      </c>
      <c r="H36" s="260">
        <f>IF(LEFT(D36,5)="FAIL:",D36,IF(D36="",IF(AND(ISNUMBER(D35),D35&gt;0),0,""),D36*1.2))</f>
        <v>13762.520959894691</v>
      </c>
      <c r="P36" s="239">
        <f t="shared" si="0"/>
        <v>3019.9333993158743</v>
      </c>
      <c r="Q36" s="239">
        <f t="shared" si="1"/>
        <v>628.03147491532764</v>
      </c>
      <c r="R36" s="239">
        <f t="shared" si="2"/>
        <v>3647.964874231202</v>
      </c>
      <c r="S36" s="261">
        <f t="shared" si="5"/>
        <v>0.99862953475457383</v>
      </c>
      <c r="T36" s="261">
        <f t="shared" si="6"/>
        <v>5.2335956242943966E-2</v>
      </c>
    </row>
    <row r="37" spans="2:23" s="228" customFormat="1" ht="15" customHeight="1">
      <c r="B37" s="259">
        <v>88</v>
      </c>
      <c r="C37" s="260">
        <f>IF(OR($D$6="",$D$7="",$D$8="",$D$9="",$D$10="",$G$7="",$G$8="",$I$7="",$I$8=""),"FAIL: REQUIRED INPUT",IF(NOT(AND(ISNUMBER($D$6),ISNUMBER($D$7),ISNUMBER($D$8),ISNUMBER($D$9),ISNUMBER($D$10),ISNUMBER($G$7),ISNUMBER($G$8),ISNUMBER($I$7),ISNUMBER($I$8))),"FAIL: NON-NUMERIC INPUT",IF(OR($D$6&lt;=0,$D$7&lt;=0,$D$8&lt;0,$D$9&lt;0),"FAIL: INVALID GEOMETRY",IF(OR($D$10&lt;=0,$G$7&lt;0,$G$8&lt;0,$I$7&lt;0,$I$8&lt;0),"FAIL: INVALID WEIGHT",IF(OR(C36="",AND(ISNUMBER(C36),C36&gt;=$D$10+$G$9)),"",IF(ABS(R37)&lt;=1,"FAIL: COINCIDENT SUPPORTS",IF(R37&lt;0,"FAIL: INVALID GEOMETRY",MIN(($D$10*P37/R37)+$G$9,$D$10+$G$9))))))))</f>
        <v>51198.012238167023</v>
      </c>
      <c r="D37" s="260">
        <f>IF(LEFT(C37,5)="FAIL:",C37,IF(C37="",IF(ISNUMBER(C36),0,""),MAX(0,($D$10+$G$9-C37)+$I$9)))</f>
        <v>9051.9877618329774</v>
      </c>
      <c r="E37" s="239"/>
      <c r="F37" s="259">
        <v>88</v>
      </c>
      <c r="G37" s="260">
        <f>IF(LEFT(C37,5)="FAIL:",C37,IF(C37="","",C37*1.2))</f>
        <v>61437.614685800421</v>
      </c>
      <c r="H37" s="260">
        <f>IF(LEFT(D37,5)="FAIL:",D37,IF(D37="",IF(AND(ISNUMBER(D36),D36&gt;0),0,""),D37*1.2))</f>
        <v>10862.385314199573</v>
      </c>
      <c r="P37" s="239">
        <f t="shared" si="0"/>
        <v>2847.4720345727501</v>
      </c>
      <c r="Q37" s="239">
        <f t="shared" si="1"/>
        <v>418.79396043001299</v>
      </c>
      <c r="R37" s="239">
        <f t="shared" si="2"/>
        <v>3266.2659950027632</v>
      </c>
      <c r="S37" s="261">
        <f t="shared" si="5"/>
        <v>0.99939082701909576</v>
      </c>
      <c r="T37" s="261">
        <f t="shared" si="6"/>
        <v>3.489949670250108E-2</v>
      </c>
    </row>
    <row r="38" spans="2:23" s="228" customFormat="1" ht="15" customHeight="1">
      <c r="B38" s="259">
        <v>89</v>
      </c>
      <c r="C38" s="260">
        <f>IF(OR($D$6="",$D$7="",$D$8="",$D$9="",$D$10="",$G$7="",$G$8="",$I$7="",$I$8=""),"FAIL: REQUIRED INPUT",IF(NOT(AND(ISNUMBER($D$6),ISNUMBER($D$7),ISNUMBER($D$8),ISNUMBER($D$9),ISNUMBER($D$10),ISNUMBER($G$7),ISNUMBER($G$8),ISNUMBER($I$7),ISNUMBER($I$8))),"FAIL: NON-NUMERIC INPUT",IF(OR($D$6&lt;=0,$D$7&lt;=0,$D$8&lt;0,$D$9&lt;0),"FAIL: INVALID GEOMETRY",IF(OR($D$10&lt;=0,$G$7&lt;0,$G$8&lt;0,$I$7&lt;0,$I$8&lt;0),"FAIL: INVALID WEIGHT",IF(OR(C37="",AND(ISNUMBER(C37),C37&gt;=$D$10+$G$9)),"",IF(ABS(R38)&lt;=1,"FAIL: COINCIDENT SUPPORTS",IF(R38&lt;0,"FAIL: INVALID GEOMETRY",MIN(($D$10*P38/R38)+$G$9,$D$10+$G$9))))))))</f>
        <v>54255.44479848614</v>
      </c>
      <c r="D38" s="260">
        <f>IF(LEFT(C38,5)="FAIL:",C38,IF(C38="",IF(ISNUMBER(C37),0,""),MAX(0,($D$10+$G$9-C38)+$I$9)))</f>
        <v>5994.5552015138601</v>
      </c>
      <c r="E38" s="239"/>
      <c r="F38" s="259">
        <v>89</v>
      </c>
      <c r="G38" s="260">
        <f>IF(LEFT(C38,5)="FAIL:",C38,IF(C38="","",C38*1.2))</f>
        <v>65106.533758183366</v>
      </c>
      <c r="H38" s="260">
        <f>IF(LEFT(D38,5)="FAIL:",D38,IF(D38="",IF(AND(ISNUMBER(D37),D37&gt;0),0,""),D38*1.2))</f>
        <v>7193.4662418166317</v>
      </c>
      <c r="P38" s="239">
        <f t="shared" si="0"/>
        <v>2674.1433022638143</v>
      </c>
      <c r="Q38" s="239">
        <f t="shared" si="1"/>
        <v>209.42887724740319</v>
      </c>
      <c r="R38" s="239">
        <f t="shared" si="2"/>
        <v>2883.5721795112177</v>
      </c>
      <c r="S38" s="261">
        <f t="shared" si="5"/>
        <v>0.99984769515639127</v>
      </c>
      <c r="T38" s="261">
        <f t="shared" si="6"/>
        <v>1.7452406437283598E-2</v>
      </c>
    </row>
    <row r="39" spans="2:23" s="228" customFormat="1" ht="15" customHeight="1">
      <c r="B39" s="259">
        <v>90</v>
      </c>
      <c r="C39" s="260">
        <f>IF(OR($D$6="",$D$7="",$D$8="",$D$9="",$D$10="",$G$7="",$G$8="",$I$7="",$I$8=""),"FAIL: REQUIRED INPUT",IF(NOT(AND(ISNUMBER($D$6),ISNUMBER($D$7),ISNUMBER($D$8),ISNUMBER($D$9),ISNUMBER($D$10),ISNUMBER($G$7),ISNUMBER($G$8),ISNUMBER($I$7),ISNUMBER($I$8))),"FAIL: NON-NUMERIC INPUT",IF(OR($D$6&lt;=0,$D$7&lt;=0,$D$8&lt;0,$D$9&lt;0),"FAIL: INVALID GEOMETRY",IF(OR($D$10&lt;=0,$G$7&lt;0,$G$8&lt;0,$I$7&lt;0,$I$8&lt;0),"FAIL: INVALID WEIGHT",IF(OR(C38="",AND(ISNUMBER(C38),C38&gt;=$D$10+$G$9)),"",IF(ABS(R39)&lt;=1,"FAIL: COINCIDENT SUPPORTS",IF(R39&lt;0,"FAIL: INVALID GEOMETRY",MIN(($D$10*P39/R39)+$G$9,$D$10+$G$9))))))))</f>
        <v>58249.999999999985</v>
      </c>
      <c r="D39" s="260">
        <f>IF(LEFT(C39,5)="FAIL:",C39,IF(C39="",IF(ISNUMBER(C38),0,""),MAX(0,($D$10+$G$9-C39)+$I$9)))</f>
        <v>2000.0000000000146</v>
      </c>
      <c r="E39" s="239"/>
      <c r="F39" s="259">
        <v>90</v>
      </c>
      <c r="G39" s="260">
        <f>IF(LEFT(C39,5)="FAIL:",C39,IF(C39="","",C39*1.2))</f>
        <v>69899.999999999985</v>
      </c>
      <c r="H39" s="260">
        <f>IF(LEFT(D39,5)="FAIL:",D39,IF(D39="",IF(AND(ISNUMBER(D38),D38&gt;0),0,""),D39*1.2))</f>
        <v>2400.0000000000173</v>
      </c>
      <c r="P39" s="239">
        <f t="shared" si="0"/>
        <v>2500.0000000000005</v>
      </c>
      <c r="Q39" s="239">
        <f t="shared" si="1"/>
        <v>7.3508907294517201E-13</v>
      </c>
      <c r="R39" s="239">
        <f t="shared" si="2"/>
        <v>2500.0000000000014</v>
      </c>
      <c r="S39" s="261">
        <f t="shared" si="5"/>
        <v>1</v>
      </c>
      <c r="T39" s="261">
        <f t="shared" si="6"/>
        <v>6.1257422745431001E-17</v>
      </c>
      <c r="V39" s="575"/>
      <c r="W39" s="575"/>
    </row>
    <row r="40" spans="2:23" s="228" customFormat="1" ht="15" customHeight="1">
      <c r="B40" s="576"/>
      <c r="C40" s="576"/>
      <c r="D40" s="576"/>
      <c r="E40" s="577"/>
      <c r="F40" s="576"/>
      <c r="G40" s="576"/>
      <c r="H40" s="576"/>
      <c r="P40" s="576"/>
      <c r="Q40" s="576"/>
      <c r="R40" s="576"/>
      <c r="S40" s="576"/>
      <c r="T40" s="576"/>
      <c r="V40" s="575"/>
      <c r="W40" s="575"/>
    </row>
    <row r="41" spans="2:23" s="228" customFormat="1" ht="15" customHeight="1">
      <c r="B41" s="572" t="s">
        <v>809</v>
      </c>
      <c r="C41" s="576"/>
      <c r="D41" s="576"/>
      <c r="E41" s="577"/>
      <c r="F41" s="576"/>
      <c r="G41" s="576"/>
      <c r="H41" s="576"/>
      <c r="P41" s="576"/>
      <c r="Q41" s="576"/>
      <c r="R41" s="576"/>
      <c r="S41" s="576"/>
      <c r="T41" s="576"/>
      <c r="V41" s="575"/>
      <c r="W41" s="575"/>
    </row>
    <row r="42" spans="2:23" s="228" customFormat="1" ht="15" customHeight="1">
      <c r="B42" s="572" t="s">
        <v>810</v>
      </c>
      <c r="C42" s="576"/>
      <c r="D42" s="576"/>
      <c r="E42" s="577"/>
      <c r="F42" s="576"/>
      <c r="G42" s="576"/>
      <c r="H42" s="576"/>
      <c r="P42" s="576"/>
      <c r="Q42" s="576"/>
      <c r="R42" s="576"/>
      <c r="S42" s="576"/>
      <c r="T42" s="576"/>
      <c r="V42" s="575"/>
      <c r="W42" s="575"/>
    </row>
    <row r="43" spans="2:23" s="228" customFormat="1" ht="15" customHeight="1">
      <c r="B43" s="572" t="s">
        <v>811</v>
      </c>
      <c r="C43" s="576"/>
      <c r="D43" s="576"/>
      <c r="E43" s="577"/>
      <c r="F43" s="576"/>
      <c r="G43" s="576"/>
      <c r="H43" s="576"/>
      <c r="P43" s="576"/>
      <c r="Q43" s="576"/>
      <c r="R43" s="576"/>
      <c r="S43" s="576"/>
      <c r="T43" s="576"/>
      <c r="V43" s="575"/>
      <c r="W43" s="575"/>
    </row>
    <row r="44" spans="2:23" s="228" customFormat="1" ht="15" customHeight="1">
      <c r="B44" s="573" t="s">
        <v>812</v>
      </c>
      <c r="C44" s="576"/>
      <c r="D44" s="576"/>
      <c r="E44" s="577"/>
      <c r="F44" s="576"/>
      <c r="G44" s="576"/>
      <c r="H44" s="576"/>
      <c r="P44" s="576"/>
      <c r="Q44" s="576"/>
      <c r="R44" s="576"/>
      <c r="S44" s="576"/>
      <c r="T44" s="576"/>
      <c r="V44" s="575"/>
      <c r="W44" s="575"/>
    </row>
    <row r="45" spans="2:23" s="228" customFormat="1" ht="15" customHeight="1">
      <c r="B45" s="573" t="s">
        <v>813</v>
      </c>
      <c r="C45" s="576"/>
      <c r="D45" s="576"/>
      <c r="E45" s="576"/>
      <c r="F45" s="576"/>
      <c r="G45" s="576"/>
      <c r="H45" s="576"/>
      <c r="P45" s="576"/>
      <c r="Q45" s="576"/>
      <c r="R45" s="576"/>
      <c r="S45" s="576"/>
      <c r="T45" s="576"/>
      <c r="V45" s="575"/>
      <c r="W45" s="575"/>
    </row>
    <row r="46" spans="2:23" s="228" customFormat="1" ht="15" customHeight="1">
      <c r="B46" s="576"/>
      <c r="C46" s="576"/>
      <c r="D46" s="576"/>
      <c r="E46" s="576"/>
      <c r="F46" s="576"/>
      <c r="G46" s="576"/>
      <c r="H46" s="576"/>
      <c r="P46" s="576"/>
      <c r="Q46" s="576"/>
      <c r="R46" s="576"/>
      <c r="S46" s="576"/>
      <c r="T46" s="576"/>
      <c r="V46" s="575"/>
      <c r="W46" s="575"/>
    </row>
    <row r="47" spans="2:23" s="228" customFormat="1" ht="15" customHeight="1">
      <c r="B47" s="576"/>
      <c r="C47" s="576"/>
      <c r="D47" s="576"/>
      <c r="E47" s="576"/>
      <c r="F47" s="576"/>
      <c r="G47" s="576"/>
      <c r="H47" s="576"/>
      <c r="P47" s="576"/>
      <c r="Q47" s="576"/>
      <c r="R47" s="576"/>
      <c r="S47" s="576"/>
      <c r="T47" s="576"/>
      <c r="V47" s="575"/>
      <c r="W47" s="575"/>
    </row>
    <row r="48" spans="2:23" s="228" customFormat="1" ht="15" customHeight="1">
      <c r="B48" s="576"/>
      <c r="C48" s="576"/>
      <c r="D48" s="576"/>
      <c r="E48" s="576"/>
      <c r="F48" s="576"/>
      <c r="G48" s="576"/>
      <c r="H48" s="576"/>
      <c r="P48" s="576"/>
      <c r="Q48" s="576"/>
      <c r="R48" s="576"/>
      <c r="S48" s="576"/>
      <c r="T48" s="576"/>
      <c r="V48" s="575"/>
      <c r="W48" s="575"/>
    </row>
    <row r="49" spans="2:23" s="228" customFormat="1" ht="15" customHeight="1">
      <c r="B49" s="576"/>
      <c r="C49" s="576"/>
      <c r="D49" s="576"/>
      <c r="E49" s="576"/>
      <c r="F49" s="576"/>
      <c r="G49" s="576"/>
      <c r="H49" s="576"/>
      <c r="P49" s="576"/>
      <c r="Q49" s="576"/>
      <c r="R49" s="576"/>
      <c r="S49" s="576"/>
      <c r="T49" s="576"/>
      <c r="V49" s="575"/>
      <c r="W49" s="575"/>
    </row>
    <row r="50" spans="2:23" s="228" customFormat="1" ht="15" customHeight="1">
      <c r="B50" s="576"/>
      <c r="C50" s="576"/>
      <c r="D50" s="576"/>
      <c r="E50" s="576"/>
      <c r="F50" s="576"/>
      <c r="G50" s="576"/>
      <c r="H50" s="576"/>
      <c r="P50" s="576"/>
      <c r="Q50" s="576"/>
      <c r="R50" s="576"/>
      <c r="S50" s="576"/>
      <c r="T50" s="576"/>
      <c r="V50" s="575"/>
      <c r="W50" s="575"/>
    </row>
    <row r="51" spans="2:23" s="228" customFormat="1" ht="15" customHeight="1">
      <c r="B51" s="576"/>
      <c r="C51" s="576"/>
      <c r="D51" s="576"/>
      <c r="E51" s="576"/>
      <c r="F51" s="576"/>
      <c r="G51" s="576"/>
      <c r="H51" s="576"/>
      <c r="J51" s="576"/>
      <c r="K51" s="576"/>
      <c r="L51" s="576"/>
      <c r="M51" s="576"/>
      <c r="N51" s="576"/>
      <c r="O51" s="576"/>
      <c r="P51" s="576"/>
      <c r="Q51" s="576"/>
      <c r="R51" s="576"/>
      <c r="S51" s="576"/>
      <c r="T51" s="576"/>
      <c r="V51" s="575"/>
      <c r="W51" s="575"/>
    </row>
    <row r="52" spans="2:23">
      <c r="V52" s="578"/>
      <c r="W52" s="578"/>
    </row>
    <row r="53" spans="2:23">
      <c r="V53" s="578"/>
      <c r="W53" s="578"/>
    </row>
    <row r="54" spans="2:23">
      <c r="V54" s="578"/>
      <c r="W54" s="578"/>
    </row>
    <row r="55" spans="2:23">
      <c r="V55" s="578"/>
      <c r="W55" s="578"/>
    </row>
    <row r="56" spans="2:23">
      <c r="V56" s="578"/>
      <c r="W56" s="578"/>
    </row>
    <row r="57" spans="2:23">
      <c r="V57" s="578"/>
      <c r="W57" s="578"/>
    </row>
    <row r="58" spans="2:23">
      <c r="V58" s="578"/>
      <c r="W58" s="578"/>
    </row>
    <row r="59" spans="2:23">
      <c r="V59" s="579"/>
    </row>
  </sheetData>
  <sheetProtection sheet="1" objects="1" scenarios="1" selectLockedCells="1"/>
  <mergeCells count="16">
    <mergeCell ref="B9:C9"/>
    <mergeCell ref="B6:C6"/>
    <mergeCell ref="B7:C7"/>
    <mergeCell ref="B8:C8"/>
    <mergeCell ref="J25:N29"/>
    <mergeCell ref="B10:C10"/>
    <mergeCell ref="F10:I10"/>
    <mergeCell ref="B12:D14"/>
    <mergeCell ref="F12:I14"/>
    <mergeCell ref="B15:D15"/>
    <mergeCell ref="G16:H16"/>
    <mergeCell ref="F5:G5"/>
    <mergeCell ref="H5:I5"/>
    <mergeCell ref="F6:G6"/>
    <mergeCell ref="H6:I6"/>
    <mergeCell ref="G17:H17"/>
  </mergeCells>
  <dataValidations count="7">
    <dataValidation type="decimal" operator="greaterThanOrEqual" showErrorMessage="1" errorTitle="Invalid tail-crane weight" error="Required component/rigging weight must be 0 or greater." sqref="I8" xr:uid="{1D8663B5-E53D-4CDA-9DB7-C65EAE65AFA4}">
      <formula1>0</formula1>
    </dataValidation>
    <dataValidation type="decimal" operator="greaterThanOrEqual" showErrorMessage="1" errorTitle="Invalid tail-crane weight" error="Required component/rigging weight must be 0 or greater." sqref="I7" xr:uid="{2D884F45-F954-4A8C-87CB-07CD85478964}">
      <formula1>0</formula1>
    </dataValidation>
    <dataValidation type="decimal" operator="greaterThan" showErrorMessage="1" errorTitle="Invalid load weight" error="Required load weight must be greater than 0." sqref="D10" xr:uid="{23F68547-B788-4C69-89A5-B6FCC715F999}">
      <formula1>0</formula1>
    </dataValidation>
    <dataValidation type="decimal" operator="greaterThanOrEqual" showErrorMessage="1" errorTitle="Invalid offset" error="Required numeric offset must be 0 or greater." sqref="D8:D9" xr:uid="{43091565-545F-4F54-9738-42177A713FE3}">
      <formula1>0</formula1>
    </dataValidation>
    <dataValidation type="decimal" operator="greaterThan" showErrorMessage="1" errorTitle="Invalid distance" error="Required numeric distance must be greater than 0." sqref="D6:D7" xr:uid="{9ABB07B5-7B54-4CC6-9CA3-C128E2B21997}">
      <formula1>0</formula1>
    </dataValidation>
    <dataValidation type="decimal" operator="greaterThanOrEqual" showErrorMessage="1" errorTitle="Invalid lift-crane weight" error="Required component/rigging weight must be 0 or greater." sqref="G7" xr:uid="{B09CA56C-3CDC-4E82-BD58-3419C2B72582}">
      <formula1>0</formula1>
    </dataValidation>
    <dataValidation type="decimal" operator="greaterThanOrEqual" showErrorMessage="1" errorTitle="Invalid lift-crane weight" error="Required component/rigging weight must be 0 or greater." sqref="G8" xr:uid="{AC3E292B-3B28-4C33-8EC0-EED6CB078CE1}">
      <formula1>0</formula1>
    </dataValidation>
  </dataValidations>
  <hyperlinks>
    <hyperlink ref="I2" location="Home!A1" display="Home" xr:uid="{29BF9026-697F-4FF7-B492-C6D956F92A47}"/>
    <hyperlink ref="B44" r:id="rId1" xr:uid="{E077D052-90EA-455E-809A-ED5066B0C418}"/>
    <hyperlink ref="B45" r:id="rId2" xr:uid="{C8F52056-535C-4FCA-AFF5-B37A27377B4C}"/>
  </hyperlinks>
  <pageMargins left="0.25" right="0.25" top="0.75" bottom="0.75" header="0.3" footer="0.3"/>
  <pageSetup paperSize="9" scale="62" orientation="landscape" horizontalDpi="300" verticalDpi="300" r:id="rId3"/>
  <drawing r:id="rId4"/>
  <legacyDrawing r:id="rId5"/>
  <oleObjects>
    <mc:AlternateContent xmlns:mc="http://schemas.openxmlformats.org/markup-compatibility/2006">
      <mc:Choice Requires="x14">
        <oleObject progId="Sketch" shapeId="24577" r:id="rId6">
          <objectPr locked="0" defaultSize="0" autoLine="0" autoPict="0" r:id="rId7">
            <anchor moveWithCells="1">
              <from>
                <xdr:col>9</xdr:col>
                <xdr:colOff>133350</xdr:colOff>
                <xdr:row>2</xdr:row>
                <xdr:rowOff>28575</xdr:rowOff>
              </from>
              <to>
                <xdr:col>13</xdr:col>
                <xdr:colOff>390525</xdr:colOff>
                <xdr:row>22</xdr:row>
                <xdr:rowOff>47625</xdr:rowOff>
              </to>
            </anchor>
          </objectPr>
        </oleObject>
      </mc:Choice>
      <mc:Fallback>
        <oleObject progId="Sketch" shapeId="24577" r:id="rId6"/>
      </mc:Fallback>
    </mc:AlternateContent>
  </oleObjec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3C410-21F1-42D1-93AC-F03F6600C52E}">
  <dimension ref="B1:R57"/>
  <sheetViews>
    <sheetView showGridLines="0" showRowColHeaders="0" zoomScale="90" zoomScaleNormal="90" workbookViewId="0">
      <selection activeCell="N13" sqref="N13"/>
    </sheetView>
  </sheetViews>
  <sheetFormatPr defaultRowHeight="14.25"/>
  <cols>
    <col min="1" max="1" width="5.7109375" style="75" customWidth="1"/>
    <col min="2" max="2" width="12.28515625" style="75" customWidth="1"/>
    <col min="3" max="3" width="13.42578125" style="75" customWidth="1"/>
    <col min="4" max="4" width="9.140625" style="75"/>
    <col min="5" max="5" width="3.7109375" style="75" customWidth="1"/>
    <col min="6" max="7" width="12.28515625" style="75" customWidth="1"/>
    <col min="8" max="8" width="9.140625" style="75"/>
    <col min="9" max="9" width="3.7109375" style="75" customWidth="1"/>
    <col min="10" max="11" width="12.28515625" style="75" customWidth="1"/>
    <col min="12" max="12" width="9.140625" style="75"/>
    <col min="13" max="13" width="3.7109375" style="75" customWidth="1"/>
    <col min="14" max="15" width="12.28515625" style="75" customWidth="1"/>
    <col min="16" max="16384" width="9.140625" style="75"/>
  </cols>
  <sheetData>
    <row r="1" spans="2:18" ht="18" customHeight="1"/>
    <row r="2" spans="2:18" ht="18" customHeight="1">
      <c r="B2" s="66" t="s">
        <v>714</v>
      </c>
      <c r="R2" s="592" t="s">
        <v>298</v>
      </c>
    </row>
    <row r="3" spans="2:18" ht="18" customHeight="1">
      <c r="B3" s="263"/>
    </row>
    <row r="4" spans="2:18" ht="18" customHeight="1">
      <c r="B4" s="264" t="s">
        <v>713</v>
      </c>
      <c r="C4" s="264"/>
      <c r="D4" s="264"/>
      <c r="E4" s="265"/>
      <c r="F4" s="266" t="s">
        <v>712</v>
      </c>
      <c r="G4" s="266"/>
      <c r="H4" s="266"/>
      <c r="I4" s="267"/>
      <c r="J4" s="267"/>
    </row>
    <row r="5" spans="2:18" ht="18" customHeight="1">
      <c r="B5" s="264"/>
      <c r="C5" s="264"/>
      <c r="D5" s="264"/>
      <c r="E5" s="265"/>
      <c r="F5" s="266"/>
      <c r="G5" s="266"/>
      <c r="H5" s="266"/>
      <c r="I5" s="267"/>
      <c r="J5" s="267"/>
    </row>
    <row r="6" spans="2:18" ht="18" customHeight="1">
      <c r="B6" s="264"/>
      <c r="C6" s="264"/>
      <c r="D6" s="264"/>
      <c r="F6" s="266"/>
      <c r="G6" s="266"/>
      <c r="H6" s="266"/>
      <c r="I6" s="267"/>
      <c r="J6" s="267"/>
    </row>
    <row r="7" spans="2:18" ht="18" customHeight="1">
      <c r="B7" s="264"/>
      <c r="C7" s="264"/>
      <c r="D7" s="264"/>
      <c r="F7" s="266"/>
      <c r="G7" s="266"/>
      <c r="H7" s="266"/>
    </row>
    <row r="8" spans="2:18" ht="18" customHeight="1">
      <c r="B8" s="264"/>
      <c r="C8" s="264"/>
      <c r="D8" s="264"/>
      <c r="F8" s="266"/>
      <c r="G8" s="266"/>
      <c r="H8" s="266"/>
    </row>
    <row r="9" spans="2:18" ht="18" customHeight="1">
      <c r="B9" s="74" t="s">
        <v>432</v>
      </c>
    </row>
    <row r="10" spans="2:18" ht="8.1" customHeight="1">
      <c r="D10" s="268"/>
      <c r="E10" s="268"/>
    </row>
    <row r="11" spans="2:18" ht="18" customHeight="1">
      <c r="B11" s="112" t="s">
        <v>711</v>
      </c>
      <c r="C11" s="269"/>
      <c r="D11" s="269"/>
      <c r="E11" s="269"/>
      <c r="F11" s="112"/>
      <c r="G11" s="269"/>
      <c r="H11" s="269"/>
    </row>
    <row r="12" spans="2:18" ht="8.1" customHeight="1"/>
    <row r="13" spans="2:18" ht="18" customHeight="1">
      <c r="B13" s="74" t="s">
        <v>77</v>
      </c>
      <c r="F13" s="74" t="s">
        <v>78</v>
      </c>
    </row>
    <row r="14" spans="2:18" ht="8.1" customHeight="1"/>
    <row r="15" spans="2:18" ht="18" customHeight="1">
      <c r="B15" s="270" t="s">
        <v>705</v>
      </c>
      <c r="C15" s="270"/>
      <c r="D15" s="3">
        <v>25000</v>
      </c>
      <c r="F15" s="270" t="s">
        <v>705</v>
      </c>
      <c r="G15" s="270"/>
      <c r="H15" s="3">
        <v>22000</v>
      </c>
    </row>
    <row r="16" spans="2:18" ht="18" customHeight="1">
      <c r="B16" s="270" t="s">
        <v>430</v>
      </c>
      <c r="C16" s="270"/>
      <c r="D16" s="3">
        <v>1200</v>
      </c>
      <c r="F16" s="270" t="s">
        <v>430</v>
      </c>
      <c r="G16" s="270"/>
      <c r="H16" s="3">
        <v>950</v>
      </c>
    </row>
    <row r="17" spans="2:18" ht="18" customHeight="1">
      <c r="B17" s="270" t="s">
        <v>704</v>
      </c>
      <c r="C17" s="270"/>
      <c r="D17" s="3">
        <v>750</v>
      </c>
      <c r="F17" s="270" t="s">
        <v>704</v>
      </c>
      <c r="G17" s="270"/>
      <c r="H17" s="3">
        <v>350</v>
      </c>
    </row>
    <row r="18" spans="2:18" ht="18" customHeight="1">
      <c r="B18" s="270" t="s">
        <v>703</v>
      </c>
      <c r="C18" s="270"/>
      <c r="D18" s="77">
        <f>IF(COUNT(D15:D17)&lt;&gt;3,"",IF(OR(D15&lt;=0,D16&lt;0,D17&lt;0),"INVALID",SUM(D15:D17)))</f>
        <v>26950</v>
      </c>
      <c r="F18" s="270" t="s">
        <v>703</v>
      </c>
      <c r="G18" s="270"/>
      <c r="H18" s="77">
        <f>IF(COUNT(H15:H17)&lt;&gt;3,"",IF(OR(H15&lt;=0,H16&lt;0,H17&lt;0),"INVALID",SUM(H15:H17)))</f>
        <v>23300</v>
      </c>
    </row>
    <row r="19" spans="2:18" ht="18" customHeight="1">
      <c r="B19" s="271" t="s">
        <v>86</v>
      </c>
      <c r="C19" s="271"/>
      <c r="D19" s="85">
        <f>IF(D18="","",IFERROR(D18*1.2,"INVALID"))</f>
        <v>32340</v>
      </c>
      <c r="F19" s="271" t="s">
        <v>86</v>
      </c>
      <c r="G19" s="271"/>
      <c r="H19" s="85">
        <f>IF(H18="","",IFERROR(H18*1.2,"INVALID"))</f>
        <v>27960</v>
      </c>
    </row>
    <row r="20" spans="2:18" ht="18" customHeight="1">
      <c r="B20" s="270" t="s">
        <v>702</v>
      </c>
      <c r="C20" s="270"/>
      <c r="D20" s="3">
        <v>35000</v>
      </c>
      <c r="F20" s="270" t="s">
        <v>702</v>
      </c>
      <c r="G20" s="270"/>
      <c r="H20" s="3">
        <v>27960</v>
      </c>
    </row>
    <row r="21" spans="2:18" ht="18" customHeight="1">
      <c r="B21" s="270" t="s">
        <v>701</v>
      </c>
      <c r="C21" s="270"/>
      <c r="D21" s="43">
        <f>IF(OR(NOT(ISNUMBER(D18)),NOT(ISNUMBER(D20)),D18&lt;=0,D20&lt;=0),"",D18/D20)</f>
        <v>0.77</v>
      </c>
      <c r="F21" s="270" t="s">
        <v>701</v>
      </c>
      <c r="G21" s="270"/>
      <c r="H21" s="43">
        <f>IF(OR(NOT(ISNUMBER(H18)),NOT(ISNUMBER(H20)),H18&lt;=0,H20&lt;=0),"",H18/H20)</f>
        <v>0.83333333333333337</v>
      </c>
    </row>
    <row r="22" spans="2:18" ht="18" customHeight="1"/>
    <row r="23" spans="2:18" ht="18" customHeight="1">
      <c r="B23" s="272" t="s">
        <v>700</v>
      </c>
      <c r="C23" s="272"/>
      <c r="D23" s="85" t="str">
        <f>IF(COUNT(D15:D17,H15:H17,D20,H20)&lt;&gt;8,"",IF(AND(D15&gt;0,D16&gt;=0,D17&gt;=0,H15&gt;0,H16&gt;=0,H17&gt;=0,D20&gt;0,H20&gt;0,D20&gt;=SUM(D15:D17)*1.2,H20&gt;=SUM(H15:H17)*1.2),"YES","NO"))</f>
        <v>YES</v>
      </c>
    </row>
    <row r="24" spans="2:18" ht="18" customHeight="1">
      <c r="J24" s="273" t="s">
        <v>710</v>
      </c>
      <c r="K24" s="273"/>
      <c r="L24" s="273"/>
      <c r="M24" s="273"/>
      <c r="N24" s="273"/>
      <c r="O24" s="273"/>
      <c r="P24" s="273"/>
      <c r="Q24" s="273"/>
      <c r="R24" s="273"/>
    </row>
    <row r="25" spans="2:18" ht="18" customHeight="1">
      <c r="B25" s="112" t="s">
        <v>709</v>
      </c>
      <c r="C25" s="269"/>
      <c r="D25" s="269"/>
      <c r="E25" s="269"/>
      <c r="F25" s="112"/>
      <c r="G25" s="269"/>
      <c r="H25" s="269"/>
      <c r="J25" s="273"/>
      <c r="K25" s="273"/>
      <c r="L25" s="273"/>
      <c r="M25" s="273"/>
      <c r="N25" s="273"/>
      <c r="O25" s="273"/>
      <c r="P25" s="273"/>
      <c r="Q25" s="273"/>
      <c r="R25" s="273"/>
    </row>
    <row r="26" spans="2:18" ht="8.1" customHeight="1"/>
    <row r="27" spans="2:18" ht="18" customHeight="1">
      <c r="B27" s="74" t="s">
        <v>77</v>
      </c>
      <c r="F27" s="74" t="s">
        <v>78</v>
      </c>
      <c r="J27" s="74" t="s">
        <v>707</v>
      </c>
    </row>
    <row r="28" spans="2:18" ht="8.1" customHeight="1"/>
    <row r="29" spans="2:18" ht="18" customHeight="1">
      <c r="B29" s="270" t="s">
        <v>705</v>
      </c>
      <c r="C29" s="270"/>
      <c r="D29" s="3">
        <v>25000</v>
      </c>
      <c r="F29" s="270" t="s">
        <v>705</v>
      </c>
      <c r="G29" s="270"/>
      <c r="H29" s="3">
        <v>22000</v>
      </c>
      <c r="J29" s="270" t="s">
        <v>705</v>
      </c>
      <c r="K29" s="270"/>
      <c r="L29" s="3">
        <v>22000</v>
      </c>
    </row>
    <row r="30" spans="2:18" ht="18" customHeight="1">
      <c r="B30" s="270" t="s">
        <v>430</v>
      </c>
      <c r="C30" s="270"/>
      <c r="D30" s="3">
        <v>1200</v>
      </c>
      <c r="F30" s="270" t="s">
        <v>430</v>
      </c>
      <c r="G30" s="270"/>
      <c r="H30" s="3">
        <v>950</v>
      </c>
      <c r="J30" s="270" t="s">
        <v>430</v>
      </c>
      <c r="K30" s="270"/>
      <c r="L30" s="3">
        <v>950</v>
      </c>
    </row>
    <row r="31" spans="2:18" ht="18" customHeight="1">
      <c r="B31" s="270" t="s">
        <v>704</v>
      </c>
      <c r="C31" s="270"/>
      <c r="D31" s="3">
        <v>750</v>
      </c>
      <c r="F31" s="270" t="s">
        <v>704</v>
      </c>
      <c r="G31" s="270"/>
      <c r="H31" s="3">
        <v>350</v>
      </c>
      <c r="J31" s="270" t="s">
        <v>704</v>
      </c>
      <c r="K31" s="270"/>
      <c r="L31" s="3">
        <v>350</v>
      </c>
    </row>
    <row r="32" spans="2:18" ht="18" customHeight="1">
      <c r="B32" s="270" t="s">
        <v>703</v>
      </c>
      <c r="C32" s="270"/>
      <c r="D32" s="77">
        <f>IF(COUNT(D29:D31)&lt;&gt;3,"",IF(OR(D29&lt;=0,D30&lt;0,D31&lt;0),"INVALID",SUM(D29:D31)))</f>
        <v>26950</v>
      </c>
      <c r="F32" s="270" t="s">
        <v>703</v>
      </c>
      <c r="G32" s="270"/>
      <c r="H32" s="77">
        <f>IF(COUNT(H29:H31)&lt;&gt;3,"",IF(OR(H29&lt;=0,H30&lt;0,H31&lt;0),"INVALID",SUM(H29:H31)))</f>
        <v>23300</v>
      </c>
      <c r="J32" s="270" t="s">
        <v>703</v>
      </c>
      <c r="K32" s="270"/>
      <c r="L32" s="77">
        <f>IF(COUNT(L29:L31)&lt;&gt;3,"",IF(OR(L29&lt;=0,L30&lt;0,L31&lt;0),"INVALID",SUM(L29:L31)))</f>
        <v>23300</v>
      </c>
    </row>
    <row r="33" spans="2:16" ht="18" customHeight="1">
      <c r="B33" s="271" t="s">
        <v>86</v>
      </c>
      <c r="C33" s="271"/>
      <c r="D33" s="134">
        <f>IF(D32="","",IFERROR(D32*1.33,"INVALID"))</f>
        <v>35843.5</v>
      </c>
      <c r="F33" s="271" t="s">
        <v>86</v>
      </c>
      <c r="G33" s="271"/>
      <c r="H33" s="134">
        <f>IF(H32="","",IFERROR(H32*1.33,"INVALID"))</f>
        <v>30989</v>
      </c>
      <c r="J33" s="271" t="s">
        <v>86</v>
      </c>
      <c r="K33" s="271"/>
      <c r="L33" s="134">
        <f>IF(L32="","",IFERROR(L32*1.33,"INVALID"))</f>
        <v>30989</v>
      </c>
    </row>
    <row r="34" spans="2:16" ht="18" customHeight="1">
      <c r="B34" s="270" t="s">
        <v>702</v>
      </c>
      <c r="C34" s="270"/>
      <c r="D34" s="3">
        <v>38000</v>
      </c>
      <c r="F34" s="270" t="s">
        <v>702</v>
      </c>
      <c r="G34" s="270"/>
      <c r="H34" s="3">
        <v>32000</v>
      </c>
      <c r="J34" s="270" t="s">
        <v>702</v>
      </c>
      <c r="K34" s="270"/>
      <c r="L34" s="3">
        <v>32000</v>
      </c>
    </row>
    <row r="35" spans="2:16" ht="18" customHeight="1">
      <c r="B35" s="270" t="s">
        <v>701</v>
      </c>
      <c r="C35" s="270"/>
      <c r="D35" s="43">
        <f>IF(OR(NOT(ISNUMBER(D32)),NOT(ISNUMBER(D34)),D32&lt;=0,D34&lt;=0),"",D32/D34)</f>
        <v>0.70921052631578951</v>
      </c>
      <c r="F35" s="270" t="s">
        <v>701</v>
      </c>
      <c r="G35" s="270"/>
      <c r="H35" s="43">
        <f>IF(OR(NOT(ISNUMBER(H32)),NOT(ISNUMBER(H34)),H32&lt;=0,H34&lt;=0),"",H32/H34)</f>
        <v>0.72812500000000002</v>
      </c>
      <c r="J35" s="270" t="s">
        <v>701</v>
      </c>
      <c r="K35" s="270"/>
      <c r="L35" s="43">
        <f>IF(OR(NOT(ISNUMBER(L32)),NOT(ISNUMBER(L34)),L32&lt;=0,L34&lt;=0),"",L32/L34)</f>
        <v>0.72812500000000002</v>
      </c>
    </row>
    <row r="36" spans="2:16" ht="18" customHeight="1"/>
    <row r="37" spans="2:16" ht="18" customHeight="1">
      <c r="B37" s="272" t="s">
        <v>700</v>
      </c>
      <c r="C37" s="272"/>
      <c r="D37" s="85" t="str">
        <f>IF(COUNT(D29:D31,H29:H31,L29:L31,D34,H34,L34)&lt;&gt;12,"",IF(AND(D29&gt;0,D30&gt;=0,D31&gt;=0,H29&gt;0,H30&gt;=0,H31&gt;=0,L29&gt;0,L30&gt;=0,L31&gt;=0,D34&gt;0,H34&gt;0,L34&gt;0,D34&gt;=SUM(D29:D31)*1.33,H34&gt;=SUM(H29:H31)*1.33,L34&gt;=SUM(L29:L31)*1.33),"YES","NO"))</f>
        <v>YES</v>
      </c>
    </row>
    <row r="38" spans="2:16" ht="18" customHeight="1"/>
    <row r="39" spans="2:16" ht="18" customHeight="1">
      <c r="B39" s="112" t="s">
        <v>708</v>
      </c>
      <c r="C39" s="269"/>
      <c r="D39" s="269"/>
      <c r="E39" s="269"/>
      <c r="F39" s="112"/>
      <c r="G39" s="269"/>
      <c r="H39" s="269"/>
    </row>
    <row r="40" spans="2:16" ht="8.1" customHeight="1"/>
    <row r="41" spans="2:16" ht="18" customHeight="1">
      <c r="B41" s="74" t="s">
        <v>77</v>
      </c>
      <c r="F41" s="74" t="s">
        <v>78</v>
      </c>
      <c r="J41" s="74" t="s">
        <v>707</v>
      </c>
      <c r="N41" s="74" t="s">
        <v>706</v>
      </c>
    </row>
    <row r="42" spans="2:16" ht="8.1" customHeight="1"/>
    <row r="43" spans="2:16" ht="18" customHeight="1">
      <c r="B43" s="270" t="s">
        <v>705</v>
      </c>
      <c r="C43" s="270"/>
      <c r="D43" s="3">
        <v>22000</v>
      </c>
      <c r="F43" s="270" t="s">
        <v>705</v>
      </c>
      <c r="G43" s="270"/>
      <c r="H43" s="3">
        <v>22000</v>
      </c>
      <c r="J43" s="270" t="s">
        <v>705</v>
      </c>
      <c r="K43" s="270"/>
      <c r="L43" s="3">
        <v>22000</v>
      </c>
      <c r="N43" s="270" t="s">
        <v>705</v>
      </c>
      <c r="O43" s="270"/>
      <c r="P43" s="3">
        <v>22000</v>
      </c>
    </row>
    <row r="44" spans="2:16" ht="18" customHeight="1">
      <c r="B44" s="270" t="s">
        <v>430</v>
      </c>
      <c r="C44" s="270"/>
      <c r="D44" s="3">
        <v>950</v>
      </c>
      <c r="F44" s="270" t="s">
        <v>430</v>
      </c>
      <c r="G44" s="270"/>
      <c r="H44" s="3">
        <v>1100</v>
      </c>
      <c r="J44" s="270" t="s">
        <v>430</v>
      </c>
      <c r="K44" s="270"/>
      <c r="L44" s="3">
        <v>1100</v>
      </c>
      <c r="N44" s="270" t="s">
        <v>430</v>
      </c>
      <c r="O44" s="270"/>
      <c r="P44" s="3">
        <v>1100</v>
      </c>
    </row>
    <row r="45" spans="2:16" ht="18" customHeight="1">
      <c r="B45" s="270" t="s">
        <v>704</v>
      </c>
      <c r="C45" s="270"/>
      <c r="D45" s="3">
        <v>350</v>
      </c>
      <c r="F45" s="270" t="s">
        <v>704</v>
      </c>
      <c r="G45" s="270"/>
      <c r="H45" s="3">
        <v>350</v>
      </c>
      <c r="J45" s="270" t="s">
        <v>704</v>
      </c>
      <c r="K45" s="270"/>
      <c r="L45" s="3">
        <v>350</v>
      </c>
      <c r="N45" s="270" t="s">
        <v>704</v>
      </c>
      <c r="O45" s="270"/>
      <c r="P45" s="3">
        <v>350</v>
      </c>
    </row>
    <row r="46" spans="2:16" ht="18" customHeight="1">
      <c r="B46" s="270" t="s">
        <v>703</v>
      </c>
      <c r="C46" s="270"/>
      <c r="D46" s="77">
        <f>IF(COUNT(D43:D45)&lt;&gt;3,"",IF(OR(D43&lt;=0,D44&lt;0,D45&lt;0),"INVALID",SUM(D43:D45)))</f>
        <v>23300</v>
      </c>
      <c r="F46" s="270" t="s">
        <v>703</v>
      </c>
      <c r="G46" s="270"/>
      <c r="H46" s="77">
        <f>IF(COUNT(H43:H45)&lt;&gt;3,"",IF(OR(H43&lt;=0,H44&lt;0,H45&lt;0),"INVALID",SUM(H43:H45)))</f>
        <v>23450</v>
      </c>
      <c r="J46" s="270" t="s">
        <v>703</v>
      </c>
      <c r="K46" s="270"/>
      <c r="L46" s="77">
        <f>IF(COUNT(L43:L45)&lt;&gt;3,"",IF(OR(L43&lt;=0,L44&lt;0,L45&lt;0),"INVALID",SUM(L43:L45)))</f>
        <v>23450</v>
      </c>
      <c r="N46" s="270" t="s">
        <v>703</v>
      </c>
      <c r="O46" s="270"/>
      <c r="P46" s="77">
        <f>IF(COUNT(P43:P45)&lt;&gt;3,"",IF(OR(P43&lt;=0,P44&lt;0,P45&lt;0),"INVALID",SUM(P43:P45)))</f>
        <v>23450</v>
      </c>
    </row>
    <row r="47" spans="2:16" ht="18" customHeight="1">
      <c r="B47" s="271" t="s">
        <v>86</v>
      </c>
      <c r="C47" s="271"/>
      <c r="D47" s="134">
        <f>IF(D46="","",IFERROR(D46*1.5,"INVALID"))</f>
        <v>34950</v>
      </c>
      <c r="F47" s="271" t="s">
        <v>86</v>
      </c>
      <c r="G47" s="271"/>
      <c r="H47" s="134">
        <f>IF(H46="","",IFERROR(H46*1.5,"INVALID"))</f>
        <v>35175</v>
      </c>
      <c r="J47" s="271" t="s">
        <v>86</v>
      </c>
      <c r="K47" s="271"/>
      <c r="L47" s="134">
        <f>IF(L46="","",IFERROR(L46*1.5,"INVALID"))</f>
        <v>35175</v>
      </c>
      <c r="N47" s="271" t="s">
        <v>86</v>
      </c>
      <c r="O47" s="271"/>
      <c r="P47" s="134">
        <f>IF(P46="","",IFERROR(P46*1.5,"INVALID"))</f>
        <v>35175</v>
      </c>
    </row>
    <row r="48" spans="2:16" ht="18" customHeight="1">
      <c r="B48" s="270" t="s">
        <v>702</v>
      </c>
      <c r="C48" s="270"/>
      <c r="D48" s="3">
        <v>35000</v>
      </c>
      <c r="F48" s="270" t="s">
        <v>702</v>
      </c>
      <c r="G48" s="270"/>
      <c r="H48" s="3">
        <v>36000</v>
      </c>
      <c r="J48" s="270" t="s">
        <v>702</v>
      </c>
      <c r="K48" s="270"/>
      <c r="L48" s="3">
        <v>36000</v>
      </c>
      <c r="N48" s="270" t="s">
        <v>702</v>
      </c>
      <c r="O48" s="270"/>
      <c r="P48" s="3">
        <v>40000</v>
      </c>
    </row>
    <row r="49" spans="2:16" ht="18" customHeight="1">
      <c r="B49" s="270" t="s">
        <v>701</v>
      </c>
      <c r="C49" s="270"/>
      <c r="D49" s="43">
        <f>IF(OR(NOT(ISNUMBER(D46)),NOT(ISNUMBER(D48)),D46&lt;=0,D48&lt;=0),"",D46/D48)</f>
        <v>0.6657142857142857</v>
      </c>
      <c r="F49" s="270" t="s">
        <v>701</v>
      </c>
      <c r="G49" s="270"/>
      <c r="H49" s="43">
        <f>IF(OR(NOT(ISNUMBER(H46)),NOT(ISNUMBER(H48)),H46&lt;=0,H48&lt;=0),"",H46/H48)</f>
        <v>0.65138888888888891</v>
      </c>
      <c r="J49" s="270" t="s">
        <v>701</v>
      </c>
      <c r="K49" s="270"/>
      <c r="L49" s="43">
        <f>IF(OR(NOT(ISNUMBER(L46)),NOT(ISNUMBER(L48)),L46&lt;=0,L48&lt;=0),"",L46/L48)</f>
        <v>0.65138888888888891</v>
      </c>
      <c r="N49" s="270" t="s">
        <v>701</v>
      </c>
      <c r="O49" s="270"/>
      <c r="P49" s="43">
        <f>IF(OR(NOT(ISNUMBER(P46)),NOT(ISNUMBER(P48)),P46&lt;=0,P48&lt;=0),"",P46/P48)</f>
        <v>0.58625000000000005</v>
      </c>
    </row>
    <row r="50" spans="2:16" ht="18" customHeight="1"/>
    <row r="51" spans="2:16" ht="18" customHeight="1">
      <c r="B51" s="272" t="s">
        <v>700</v>
      </c>
      <c r="C51" s="272"/>
      <c r="D51" s="85" t="str">
        <f>IF(COUNT(D43:D45,H43:H45,L43:L45,P43:P45,D48,H48,L48,P48)&lt;&gt;16,"",IF(AND(D43&gt;0,D44&gt;=0,D45&gt;=0,H43&gt;0,H44&gt;=0,H45&gt;=0,L43&gt;0,L44&gt;=0,L45&gt;=0,P43&gt;0,P44&gt;=0,P45&gt;=0,D48&gt;0,H48&gt;0,L48&gt;0,P48&gt;0,D48&gt;=SUM(D43:D45)*1.5,H48&gt;=SUM(H43:H45)*1.5,L48&gt;=SUM(L43:L45)*1.5,P48&gt;=SUM(P43:P45)*1.5),"YES","NO"))</f>
        <v>YES</v>
      </c>
    </row>
    <row r="53" spans="2:16" ht="15">
      <c r="B53" s="572" t="s">
        <v>809</v>
      </c>
    </row>
    <row r="54" spans="2:16" ht="15">
      <c r="B54" s="572" t="s">
        <v>810</v>
      </c>
    </row>
    <row r="55" spans="2:16" ht="15">
      <c r="B55" s="572" t="s">
        <v>811</v>
      </c>
    </row>
    <row r="56" spans="2:16" ht="15">
      <c r="B56" s="573" t="s">
        <v>812</v>
      </c>
    </row>
    <row r="57" spans="2:16" ht="15">
      <c r="B57" s="573" t="s">
        <v>813</v>
      </c>
    </row>
  </sheetData>
  <sheetProtection sheet="1" objects="1" scenarios="1" selectLockedCells="1"/>
  <mergeCells count="69">
    <mergeCell ref="B51:C51"/>
    <mergeCell ref="N43:O43"/>
    <mergeCell ref="N44:O44"/>
    <mergeCell ref="N45:O45"/>
    <mergeCell ref="N46:O46"/>
    <mergeCell ref="N47:O47"/>
    <mergeCell ref="N48:O48"/>
    <mergeCell ref="N49:O49"/>
    <mergeCell ref="B48:C48"/>
    <mergeCell ref="F48:G48"/>
    <mergeCell ref="J48:K48"/>
    <mergeCell ref="B49:C49"/>
    <mergeCell ref="F49:G49"/>
    <mergeCell ref="J49:K49"/>
    <mergeCell ref="B46:C46"/>
    <mergeCell ref="F46:G46"/>
    <mergeCell ref="J46:K46"/>
    <mergeCell ref="B47:C47"/>
    <mergeCell ref="F47:G47"/>
    <mergeCell ref="J47:K47"/>
    <mergeCell ref="B44:C44"/>
    <mergeCell ref="F44:G44"/>
    <mergeCell ref="J44:K44"/>
    <mergeCell ref="B45:C45"/>
    <mergeCell ref="F45:G45"/>
    <mergeCell ref="J45:K45"/>
    <mergeCell ref="J29:K29"/>
    <mergeCell ref="J30:K30"/>
    <mergeCell ref="J31:K31"/>
    <mergeCell ref="J32:K32"/>
    <mergeCell ref="J33:K33"/>
    <mergeCell ref="J34:K34"/>
    <mergeCell ref="J35:K35"/>
    <mergeCell ref="B43:C43"/>
    <mergeCell ref="F43:G43"/>
    <mergeCell ref="J43:K43"/>
    <mergeCell ref="B32:C32"/>
    <mergeCell ref="F32:G32"/>
    <mergeCell ref="B33:C33"/>
    <mergeCell ref="F33:G33"/>
    <mergeCell ref="B34:C34"/>
    <mergeCell ref="F34:G34"/>
    <mergeCell ref="B29:C29"/>
    <mergeCell ref="F29:G29"/>
    <mergeCell ref="B30:C30"/>
    <mergeCell ref="F30:G30"/>
    <mergeCell ref="B31:C31"/>
    <mergeCell ref="F31:G31"/>
    <mergeCell ref="J24:R25"/>
    <mergeCell ref="F17:G17"/>
    <mergeCell ref="F18:G18"/>
    <mergeCell ref="F19:G19"/>
    <mergeCell ref="F20:G20"/>
    <mergeCell ref="F21:G21"/>
    <mergeCell ref="B4:D8"/>
    <mergeCell ref="F4:H8"/>
    <mergeCell ref="B37:C37"/>
    <mergeCell ref="B35:C35"/>
    <mergeCell ref="F35:G35"/>
    <mergeCell ref="B20:C20"/>
    <mergeCell ref="B21:C21"/>
    <mergeCell ref="B23:C23"/>
    <mergeCell ref="F15:G15"/>
    <mergeCell ref="F16:G16"/>
    <mergeCell ref="B19:C19"/>
    <mergeCell ref="B18:C18"/>
    <mergeCell ref="B17:C17"/>
    <mergeCell ref="B16:C16"/>
    <mergeCell ref="B15:C15"/>
  </mergeCells>
  <conditionalFormatting sqref="D20">
    <cfRule type="expression" dxfId="96" priority="7">
      <formula>AND(D20&lt;&gt;"",D19&lt;&gt;"",D20&lt;D19)</formula>
    </cfRule>
  </conditionalFormatting>
  <conditionalFormatting sqref="D23">
    <cfRule type="expression" dxfId="95" priority="5">
      <formula>D23="YES"</formula>
    </cfRule>
    <cfRule type="expression" dxfId="94" priority="6">
      <formula>D23="NO"</formula>
    </cfRule>
  </conditionalFormatting>
  <conditionalFormatting sqref="D34">
    <cfRule type="expression" dxfId="93" priority="9">
      <formula>AND(D34&lt;&gt;"",D33&lt;&gt;"",D34&lt;D33)</formula>
    </cfRule>
  </conditionalFormatting>
  <conditionalFormatting sqref="D37">
    <cfRule type="expression" dxfId="92" priority="3">
      <formula>D37="YES"</formula>
    </cfRule>
    <cfRule type="expression" dxfId="91" priority="4">
      <formula>D37="NO"</formula>
    </cfRule>
  </conditionalFormatting>
  <conditionalFormatting sqref="D48">
    <cfRule type="expression" dxfId="90" priority="12">
      <formula>AND(D48&lt;&gt;"",D47&lt;&gt;"",D48&lt;D47)</formula>
    </cfRule>
  </conditionalFormatting>
  <conditionalFormatting sqref="D51">
    <cfRule type="expression" dxfId="89" priority="1">
      <formula>D51="YES"</formula>
    </cfRule>
    <cfRule type="expression" dxfId="88" priority="2">
      <formula>D51="NO"</formula>
    </cfRule>
  </conditionalFormatting>
  <conditionalFormatting sqref="H20">
    <cfRule type="expression" dxfId="87" priority="8">
      <formula>AND(H20&lt;&gt;"",H19&lt;&gt;"",H20&lt;H19)</formula>
    </cfRule>
  </conditionalFormatting>
  <conditionalFormatting sqref="H34">
    <cfRule type="expression" dxfId="86" priority="10">
      <formula>AND(H34&lt;&gt;"",H33&lt;&gt;"",H34&lt;H33)</formula>
    </cfRule>
  </conditionalFormatting>
  <conditionalFormatting sqref="H48">
    <cfRule type="expression" dxfId="85" priority="13">
      <formula>AND(H48&lt;&gt;"",H47&lt;&gt;"",H48&lt;H47)</formula>
    </cfRule>
  </conditionalFormatting>
  <conditionalFormatting sqref="L34">
    <cfRule type="expression" dxfId="84" priority="11">
      <formula>AND(L34&lt;&gt;"",L33&lt;&gt;"",L34&lt;L33)</formula>
    </cfRule>
  </conditionalFormatting>
  <conditionalFormatting sqref="L48">
    <cfRule type="expression" dxfId="83" priority="14">
      <formula>AND(L48&lt;&gt;"",L47&lt;&gt;"",L48&lt;L47)</formula>
    </cfRule>
  </conditionalFormatting>
  <conditionalFormatting sqref="P48">
    <cfRule type="expression" dxfId="82" priority="15">
      <formula>AND(P48&lt;&gt;"",P47&lt;&gt;"",P48&lt;P47)</formula>
    </cfRule>
  </conditionalFormatting>
  <dataValidations count="11">
    <dataValidation type="decimal" operator="greaterThan" allowBlank="1" showInputMessage="1" showErrorMessage="1" errorTitle="Invalid entry" error="Actual SWL must be greater than 0." sqref="D20 H20 D34 H34 L34 D48 H48 L48 P48" xr:uid="{18A745BA-56BA-425A-92D1-D542F6749CC6}">
      <formula1>0</formula1>
    </dataValidation>
    <dataValidation type="decimal" operator="greaterThanOrEqual" allowBlank="1" showInputMessage="1" showErrorMessage="1" errorTitle="Invalid input" error="Value must be a number ≥ 0." sqref="D16:D17 H16:H17 D30:D31 H30:H31 L30:L31 D44:D45 H44:H45 L44:L45 P44:P45" xr:uid="{BBC3246D-DC6F-4EE6-9BE6-527CFC7A1BC7}">
      <formula1>0</formula1>
    </dataValidation>
    <dataValidation type="decimal" operator="greaterThan" allowBlank="1" showInputMessage="1" showErrorMessage="1" errorTitle="Invalid load share" error="Load share must be a number &gt; 0." sqref="D15" xr:uid="{1C872B4A-DD4C-4A70-9348-BB6B96E1E09F}">
      <formula1>0</formula1>
    </dataValidation>
    <dataValidation type="decimal" operator="greaterThan" allowBlank="1" showInputMessage="1" showErrorMessage="1" errorTitle="Invalid load share" error="Load share must be a number &gt; 0." sqref="H15" xr:uid="{8461D7FA-3E17-4491-A295-F29B5EB20CE1}">
      <formula1>0</formula1>
    </dataValidation>
    <dataValidation type="decimal" operator="greaterThan" allowBlank="1" showInputMessage="1" showErrorMessage="1" errorTitle="Invalid load share" error="Load share must be a number &gt; 0." sqref="D29" xr:uid="{E08E0872-89E0-4A9B-B3BA-553969F00A7E}">
      <formula1>0</formula1>
    </dataValidation>
    <dataValidation type="decimal" operator="greaterThan" allowBlank="1" showInputMessage="1" showErrorMessage="1" errorTitle="Invalid load share" error="Load share must be a number &gt; 0." sqref="H29" xr:uid="{508A87AA-AA46-4519-B114-503BE6FEB144}">
      <formula1>0</formula1>
    </dataValidation>
    <dataValidation type="decimal" operator="greaterThan" allowBlank="1" showInputMessage="1" showErrorMessage="1" errorTitle="Invalid load share" error="Load share must be a number &gt; 0." sqref="L29" xr:uid="{BC137DCA-1172-43EA-B355-CF24F8B1DEAB}">
      <formula1>0</formula1>
    </dataValidation>
    <dataValidation type="decimal" operator="greaterThan" allowBlank="1" showInputMessage="1" showErrorMessage="1" errorTitle="Invalid load share" error="Load share must be a number &gt; 0." sqref="D43" xr:uid="{C2991641-C97C-4974-8B1D-7A7DF4D1C927}">
      <formula1>0</formula1>
    </dataValidation>
    <dataValidation type="decimal" operator="greaterThan" allowBlank="1" showInputMessage="1" showErrorMessage="1" errorTitle="Invalid load share" error="Load share must be a number &gt; 0." sqref="H43" xr:uid="{1A4FC83A-6BA4-46DA-A235-6777F9F66AC5}">
      <formula1>0</formula1>
    </dataValidation>
    <dataValidation type="decimal" operator="greaterThan" allowBlank="1" showInputMessage="1" showErrorMessage="1" errorTitle="Invalid load share" error="Load share must be a number &gt; 0." sqref="L43" xr:uid="{4C81D6C0-DB41-40F8-A024-337B86DC08AB}">
      <formula1>0</formula1>
    </dataValidation>
    <dataValidation type="decimal" operator="greaterThan" allowBlank="1" showInputMessage="1" showErrorMessage="1" errorTitle="Invalid load share" error="Load share must be a number &gt; 0." sqref="P43" xr:uid="{2A960DC5-025A-4BA8-B059-C25B284BA39E}">
      <formula1>0</formula1>
    </dataValidation>
  </dataValidations>
  <hyperlinks>
    <hyperlink ref="R2" location="Home!A1" display="Home" xr:uid="{B5D98C57-B004-4F31-91BA-C138A98E89B2}"/>
    <hyperlink ref="B56" r:id="rId1" xr:uid="{0C36F878-BF9A-493C-8CB9-649CB66E94C7}"/>
    <hyperlink ref="B57" r:id="rId2" xr:uid="{932D093D-676D-4710-AF9E-26BAC87A4F02}"/>
  </hyperlinks>
  <pageMargins left="0.25" right="0.25" top="0.75" bottom="0.75" header="0.3" footer="0.3"/>
  <pageSetup paperSize="9" orientation="landscape" horizontalDpi="300" verticalDpi="300"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B6303-9C63-42DE-8FEE-C096FE538D3F}">
  <dimension ref="B2:BD53"/>
  <sheetViews>
    <sheetView showGridLines="0" showRowColHeaders="0" zoomScale="85" zoomScaleNormal="85" workbookViewId="0">
      <selection activeCell="N13" sqref="N13"/>
    </sheetView>
  </sheetViews>
  <sheetFormatPr defaultRowHeight="14.25"/>
  <cols>
    <col min="1" max="1" width="5.7109375" style="75" customWidth="1"/>
    <col min="2" max="2" width="3.7109375" style="75" customWidth="1"/>
    <col min="3" max="11" width="4.28515625" style="75" customWidth="1"/>
    <col min="12" max="18" width="3.7109375" style="75" customWidth="1"/>
    <col min="19" max="19" width="5.5703125" style="75" customWidth="1"/>
    <col min="20" max="20" width="5.85546875" style="75" customWidth="1"/>
    <col min="21" max="23" width="3.7109375" style="75" customWidth="1"/>
    <col min="24" max="24" width="3.5703125" style="75" customWidth="1"/>
    <col min="25" max="43" width="3.7109375" style="75" customWidth="1"/>
    <col min="44" max="45" width="9.140625" style="75" hidden="1" customWidth="1"/>
    <col min="46" max="54" width="9.140625" style="75" customWidth="1"/>
    <col min="55" max="56" width="9.140625" style="75" hidden="1" customWidth="1"/>
    <col min="57" max="16384" width="9.140625" style="75"/>
  </cols>
  <sheetData>
    <row r="2" spans="2:56" ht="20.25">
      <c r="B2" s="66" t="s">
        <v>769</v>
      </c>
      <c r="C2" s="274"/>
      <c r="AB2" s="593" t="s">
        <v>298</v>
      </c>
      <c r="AC2" s="275"/>
      <c r="AD2" s="275"/>
      <c r="BC2" s="74" t="s">
        <v>768</v>
      </c>
    </row>
    <row r="3" spans="2:56">
      <c r="BC3" s="75" t="s">
        <v>767</v>
      </c>
      <c r="BD3" s="75">
        <f>IF(BD11,IF(AND(ISNUMBER(L6),ISNUMBER(U6)),-L6,L7),"")</f>
        <v>-2</v>
      </c>
    </row>
    <row r="4" spans="2:56">
      <c r="C4" s="75" t="s">
        <v>766</v>
      </c>
      <c r="BC4" s="75" t="s">
        <v>765</v>
      </c>
      <c r="BD4" s="75">
        <f>IF(BD11,IF(AND(ISNUMBER(L6),ISNUMBER(U6)),U6,U7),"")</f>
        <v>3.5</v>
      </c>
    </row>
    <row r="5" spans="2:56">
      <c r="BC5" s="75" t="s">
        <v>764</v>
      </c>
      <c r="BD5" s="276">
        <f>IF(NOT(BD11),"INVALID PIVOT INPUT",L12+L13-BD3)</f>
        <v>29</v>
      </c>
    </row>
    <row r="6" spans="2:56" ht="18" customHeight="1">
      <c r="B6" s="565">
        <v>1</v>
      </c>
      <c r="C6" s="270" t="s">
        <v>763</v>
      </c>
      <c r="D6" s="270"/>
      <c r="E6" s="270"/>
      <c r="F6" s="270"/>
      <c r="G6" s="270"/>
      <c r="H6" s="270"/>
      <c r="I6" s="270"/>
      <c r="J6" s="270"/>
      <c r="K6" s="270"/>
      <c r="L6" s="45">
        <v>2</v>
      </c>
      <c r="M6" s="45"/>
      <c r="N6" s="75" t="s">
        <v>50</v>
      </c>
      <c r="O6" s="75" t="s">
        <v>762</v>
      </c>
      <c r="U6" s="45">
        <v>3.5</v>
      </c>
      <c r="V6" s="45"/>
      <c r="W6" s="75" t="s">
        <v>756</v>
      </c>
      <c r="AB6" s="120" t="s">
        <v>761</v>
      </c>
      <c r="AC6" s="120"/>
      <c r="AD6" s="120"/>
      <c r="AE6" s="120"/>
      <c r="AF6" s="120"/>
      <c r="AG6" s="120"/>
      <c r="AH6" s="120"/>
      <c r="AI6" s="120"/>
      <c r="AJ6" s="120"/>
      <c r="AK6" s="120"/>
      <c r="AL6" s="120"/>
      <c r="AM6" s="120"/>
      <c r="AR6" s="75" t="s">
        <v>760</v>
      </c>
      <c r="BC6" s="75" t="s">
        <v>759</v>
      </c>
      <c r="BD6" s="75">
        <f>IF(L10="", 0, L10)</f>
        <v>12</v>
      </c>
    </row>
    <row r="7" spans="2:56" ht="18" customHeight="1">
      <c r="B7" s="565">
        <v>2</v>
      </c>
      <c r="C7" s="270" t="s">
        <v>758</v>
      </c>
      <c r="D7" s="270"/>
      <c r="E7" s="270"/>
      <c r="F7" s="270"/>
      <c r="G7" s="270"/>
      <c r="H7" s="270"/>
      <c r="I7" s="270"/>
      <c r="J7" s="270"/>
      <c r="K7" s="270"/>
      <c r="L7" s="45"/>
      <c r="M7" s="45"/>
      <c r="N7" s="75" t="s">
        <v>50</v>
      </c>
      <c r="O7" s="75" t="s">
        <v>757</v>
      </c>
      <c r="U7" s="45"/>
      <c r="V7" s="45"/>
      <c r="W7" s="75" t="s">
        <v>756</v>
      </c>
      <c r="AB7" s="120"/>
      <c r="AC7" s="120"/>
      <c r="AD7" s="120"/>
      <c r="AE7" s="120"/>
      <c r="AF7" s="120"/>
      <c r="AG7" s="120"/>
      <c r="AH7" s="120"/>
      <c r="AI7" s="120"/>
      <c r="AJ7" s="120"/>
      <c r="AK7" s="120"/>
      <c r="AL7" s="120"/>
      <c r="AM7" s="120"/>
      <c r="AR7" s="75" t="s">
        <v>755</v>
      </c>
      <c r="AS7" s="75" t="s">
        <v>754</v>
      </c>
      <c r="BC7" s="75" t="s">
        <v>753</v>
      </c>
      <c r="BD7" s="75">
        <f>IF(L11="", 0, RADIANS(L11))</f>
        <v>0.3490658503988659</v>
      </c>
    </row>
    <row r="8" spans="2:56" ht="18" customHeight="1">
      <c r="B8" s="352"/>
      <c r="AR8" s="75" t="s">
        <v>752</v>
      </c>
      <c r="AS8" s="75" t="s">
        <v>751</v>
      </c>
      <c r="BC8" s="75" t="s">
        <v>750</v>
      </c>
      <c r="BD8" s="75">
        <f>L9+BD6*COS(BD7)</f>
        <v>72.276311449430906</v>
      </c>
    </row>
    <row r="9" spans="2:56" ht="18" customHeight="1">
      <c r="B9" s="565">
        <v>3</v>
      </c>
      <c r="C9" s="270" t="s">
        <v>738</v>
      </c>
      <c r="D9" s="270"/>
      <c r="E9" s="270"/>
      <c r="F9" s="270"/>
      <c r="G9" s="270"/>
      <c r="H9" s="270"/>
      <c r="I9" s="270"/>
      <c r="J9" s="270"/>
      <c r="K9" s="270"/>
      <c r="L9" s="45">
        <v>61</v>
      </c>
      <c r="M9" s="45"/>
      <c r="N9" s="75" t="s">
        <v>50</v>
      </c>
      <c r="Q9" s="278"/>
      <c r="R9" s="278"/>
      <c r="S9" s="278"/>
      <c r="T9" s="278"/>
      <c r="U9" s="278"/>
      <c r="V9" s="278"/>
      <c r="W9" s="278"/>
      <c r="AR9" s="75" t="s">
        <v>749</v>
      </c>
      <c r="AS9" s="75" t="s">
        <v>748</v>
      </c>
      <c r="BC9" s="75" t="s">
        <v>747</v>
      </c>
      <c r="BD9" s="75">
        <f>BD6*SIN(BD7)</f>
        <v>4.1042417199080248</v>
      </c>
    </row>
    <row r="10" spans="2:56" ht="18" customHeight="1">
      <c r="B10" s="565">
        <v>4</v>
      </c>
      <c r="C10" s="270" t="s">
        <v>746</v>
      </c>
      <c r="D10" s="270"/>
      <c r="E10" s="270"/>
      <c r="F10" s="270"/>
      <c r="G10" s="270"/>
      <c r="H10" s="270"/>
      <c r="I10" s="270"/>
      <c r="J10" s="270"/>
      <c r="K10" s="270"/>
      <c r="L10" s="45">
        <v>12</v>
      </c>
      <c r="M10" s="45"/>
      <c r="N10" s="75" t="s">
        <v>50</v>
      </c>
      <c r="P10" s="278"/>
      <c r="Q10" s="278"/>
      <c r="R10" s="278"/>
      <c r="S10" s="278"/>
      <c r="T10" s="278"/>
      <c r="U10" s="278"/>
      <c r="V10" s="278"/>
      <c r="W10" s="278"/>
      <c r="AR10" s="75" t="s">
        <v>745</v>
      </c>
      <c r="AS10" s="75" t="s">
        <v>744</v>
      </c>
      <c r="BC10" s="75" t="s">
        <v>743</v>
      </c>
      <c r="BD10" s="75">
        <f>IF(NOT(BD11),"INVALID PIVOT INPUT",IF(OR(SQRT(BD8^2+BD9^2)&lt;=0,ABS(BD5)&gt;SQRT(BD8^2+BD9^2)),"GEOMETRY UNREACHABLE",ATAN2(BD8,BD9)+ACOS(BD5/SQRT(BD8^2+BD9^2))))</f>
        <v>1.2153573137122506</v>
      </c>
    </row>
    <row r="11" spans="2:56" ht="18" customHeight="1">
      <c r="B11" s="565">
        <v>5</v>
      </c>
      <c r="C11" s="270" t="s">
        <v>742</v>
      </c>
      <c r="D11" s="270"/>
      <c r="E11" s="270"/>
      <c r="F11" s="270"/>
      <c r="G11" s="270"/>
      <c r="H11" s="270"/>
      <c r="I11" s="270"/>
      <c r="J11" s="270"/>
      <c r="K11" s="270"/>
      <c r="L11" s="45">
        <v>20</v>
      </c>
      <c r="M11" s="45"/>
      <c r="N11" s="75" t="s">
        <v>510</v>
      </c>
      <c r="P11" s="120" t="s">
        <v>741</v>
      </c>
      <c r="Q11" s="120"/>
      <c r="R11" s="120"/>
      <c r="S11" s="120"/>
      <c r="T11" s="120"/>
      <c r="U11" s="120"/>
      <c r="V11" s="278"/>
      <c r="W11" s="278"/>
      <c r="BC11" s="75" t="s">
        <v>806</v>
      </c>
      <c r="BD11" s="75" t="b">
        <f>OR(AND(ISNUMBER(L6),L6&gt;=0,ISNUMBER(U6),U6&gt;0,L7="",U7=""),AND(ISNUMBER(L7),L7&gt;=0,ISNUMBER(U7),U7&gt;0,L6="",U6=""))</f>
        <v>1</v>
      </c>
    </row>
    <row r="12" spans="2:56" ht="18" customHeight="1">
      <c r="B12" s="565">
        <v>6</v>
      </c>
      <c r="C12" s="270" t="s">
        <v>740</v>
      </c>
      <c r="D12" s="270"/>
      <c r="E12" s="270"/>
      <c r="F12" s="270"/>
      <c r="G12" s="270"/>
      <c r="H12" s="270"/>
      <c r="I12" s="270"/>
      <c r="J12" s="270"/>
      <c r="K12" s="270"/>
      <c r="L12" s="45">
        <v>12</v>
      </c>
      <c r="M12" s="45"/>
      <c r="N12" s="75" t="s">
        <v>50</v>
      </c>
      <c r="P12" s="120"/>
      <c r="Q12" s="120"/>
      <c r="R12" s="120"/>
      <c r="S12" s="120"/>
      <c r="T12" s="120"/>
      <c r="U12" s="120"/>
      <c r="V12" s="278"/>
      <c r="W12" s="278"/>
      <c r="AR12" s="75" t="s">
        <v>739</v>
      </c>
      <c r="AS12" s="75" t="s">
        <v>738</v>
      </c>
      <c r="BC12" s="75" t="s">
        <v>807</v>
      </c>
      <c r="BD12" s="75">
        <v>1.0000000000000001E-9</v>
      </c>
    </row>
    <row r="13" spans="2:56" ht="18" customHeight="1">
      <c r="B13" s="565">
        <v>7</v>
      </c>
      <c r="C13" s="270" t="s">
        <v>737</v>
      </c>
      <c r="D13" s="270"/>
      <c r="E13" s="270"/>
      <c r="F13" s="270"/>
      <c r="G13" s="270"/>
      <c r="H13" s="270"/>
      <c r="I13" s="270"/>
      <c r="J13" s="270"/>
      <c r="K13" s="270"/>
      <c r="L13" s="45">
        <v>15</v>
      </c>
      <c r="M13" s="45"/>
      <c r="N13" s="75" t="s">
        <v>50</v>
      </c>
      <c r="P13" s="120"/>
      <c r="Q13" s="120"/>
      <c r="R13" s="120"/>
      <c r="S13" s="120"/>
      <c r="T13" s="120"/>
      <c r="U13" s="120"/>
      <c r="AR13" s="75" t="s">
        <v>736</v>
      </c>
      <c r="AS13" s="75" t="s">
        <v>735</v>
      </c>
    </row>
    <row r="14" spans="2:56" ht="18" customHeight="1">
      <c r="B14" s="565">
        <v>8</v>
      </c>
      <c r="C14" s="270" t="s">
        <v>726</v>
      </c>
      <c r="D14" s="270"/>
      <c r="E14" s="270"/>
      <c r="F14" s="270"/>
      <c r="G14" s="270"/>
      <c r="H14" s="270"/>
      <c r="I14" s="270"/>
      <c r="J14" s="270"/>
      <c r="K14" s="270"/>
      <c r="L14" s="45">
        <v>20</v>
      </c>
      <c r="M14" s="45"/>
      <c r="N14" s="75" t="s">
        <v>50</v>
      </c>
      <c r="AC14" s="277"/>
      <c r="AR14" s="75" t="s">
        <v>734</v>
      </c>
      <c r="AS14" s="75" t="s">
        <v>733</v>
      </c>
    </row>
    <row r="15" spans="2:56" ht="14.25" customHeight="1">
      <c r="B15" s="566">
        <v>9</v>
      </c>
      <c r="C15" s="279" t="s">
        <v>732</v>
      </c>
      <c r="D15" s="279"/>
      <c r="E15" s="279"/>
      <c r="F15" s="279"/>
      <c r="G15" s="279"/>
      <c r="H15" s="279"/>
      <c r="I15" s="279"/>
      <c r="J15" s="279"/>
      <c r="K15" s="279"/>
      <c r="L15" s="44">
        <v>1.2</v>
      </c>
      <c r="M15" s="44"/>
      <c r="N15" s="124" t="s">
        <v>50</v>
      </c>
      <c r="AR15" s="75" t="s">
        <v>731</v>
      </c>
      <c r="AS15" s="75" t="s">
        <v>730</v>
      </c>
    </row>
    <row r="16" spans="2:56">
      <c r="B16" s="566"/>
      <c r="C16" s="279"/>
      <c r="D16" s="279"/>
      <c r="E16" s="279"/>
      <c r="F16" s="279"/>
      <c r="G16" s="279"/>
      <c r="H16" s="279"/>
      <c r="I16" s="279"/>
      <c r="J16" s="279"/>
      <c r="K16" s="279"/>
      <c r="L16" s="44"/>
      <c r="M16" s="44"/>
      <c r="N16" s="124"/>
      <c r="AR16" s="75" t="s">
        <v>729</v>
      </c>
      <c r="AS16" s="75" t="s">
        <v>728</v>
      </c>
    </row>
    <row r="17" spans="2:45">
      <c r="AR17" s="75" t="s">
        <v>727</v>
      </c>
      <c r="AS17" s="75" t="s">
        <v>726</v>
      </c>
    </row>
    <row r="18" spans="2:45">
      <c r="AR18" s="75" t="s">
        <v>725</v>
      </c>
      <c r="AS18" s="75" t="s">
        <v>724</v>
      </c>
    </row>
    <row r="19" spans="2:45" ht="14.25" customHeight="1">
      <c r="S19" s="280"/>
      <c r="AA19" s="277"/>
      <c r="AK19" s="74"/>
    </row>
    <row r="20" spans="2:45" ht="14.25" customHeight="1">
      <c r="U20" s="277"/>
    </row>
    <row r="21" spans="2:45" ht="15">
      <c r="I21" s="280"/>
      <c r="L21" s="282" t="str">
        <f>IF(J28="INVALID PIVOT INPUT","Clearance not calculated - enter exactly one complete valid hydraulic or crawler pivot pair",IF(J28="CHECK JIB/HEAD","Clearance not calculated - obstacle is outside the finite main-boom segment; check jib / boom head manually",IFERROR(IF(AND(ISNUMBER(J28),J28&lt;=$BD$12),"Boom / Obstacle contact or clash!",""),"")))</f>
        <v/>
      </c>
      <c r="AR21" s="75" t="s">
        <v>723</v>
      </c>
    </row>
    <row r="22" spans="2:45">
      <c r="AR22" s="75" t="s">
        <v>722</v>
      </c>
      <c r="AS22" s="75" t="s">
        <v>721</v>
      </c>
    </row>
    <row r="23" spans="2:45" ht="16.5">
      <c r="B23" s="74"/>
      <c r="V23" s="281"/>
      <c r="AR23" s="75" t="s">
        <v>720</v>
      </c>
      <c r="AS23" s="75" t="s">
        <v>719</v>
      </c>
    </row>
    <row r="24" spans="2:45">
      <c r="AR24" s="75" t="s">
        <v>718</v>
      </c>
      <c r="AS24" s="75" t="s">
        <v>717</v>
      </c>
    </row>
    <row r="25" spans="2:45">
      <c r="AR25" s="75" t="s">
        <v>716</v>
      </c>
      <c r="AS25" s="75" t="s">
        <v>715</v>
      </c>
    </row>
    <row r="26" spans="2:45" ht="17.25">
      <c r="AM26" s="567">
        <f>IF(NOT(BD11),"INVALID PIVOT INPUT",IF(AND(L9&lt;&gt;"",L12&lt;&gt;"",L13&lt;&gt;"",L14&lt;&gt;"",L15&lt;&gt;""),IF(BD10="GEOMETRY UNREACHABLE","GEOMETRY UNREACHABLE",IFERROR(IF(L10="",BD4+L9*SIN(BD10)-L14,BD4+L9*SIN(BD10)+L10*SIN(BD10-BD7)-L14),"")),""))</f>
        <v>49.830309789948743</v>
      </c>
      <c r="AN26" s="568"/>
      <c r="AO26" s="569" t="s">
        <v>50</v>
      </c>
    </row>
    <row r="28" spans="2:45" ht="17.25">
      <c r="J28" s="567">
        <f>IF(NOT(BD11),"INVALID PIVOT INPUT",IF(AND(L9&lt;&gt;"",L12&lt;&gt;"",L13&lt;&gt;"",L14&lt;&gt;"",L15&lt;&gt;""),IF(BD10="GEOMETRY UNREACHABLE","GEOMETRY UNREACHABLE",IFERROR(IF(OR((L12-BD3)*COS(BD10)+(L14-BD4)*SIN(BD10)&lt;0,(L12-BD3)*COS(BD10)+(L14-BD4)*SIN(BD10)&gt;L9),"CHECK JIB/HEAD",(L12-BD3)*SIN(BD10)-(L14-BD4)*COS(BD10)-L15/2),"CHECK GEOMETRY")),""))</f>
        <v>6.7828807062523895</v>
      </c>
      <c r="K28" s="568"/>
      <c r="L28" s="569" t="s">
        <v>50</v>
      </c>
    </row>
    <row r="29" spans="2:45" ht="16.5">
      <c r="AD29" s="277"/>
    </row>
    <row r="33" spans="2:27" ht="16.5">
      <c r="P33" s="277"/>
    </row>
    <row r="36" spans="2:27" ht="16.5">
      <c r="AA36" s="277"/>
    </row>
    <row r="39" spans="2:27" ht="17.25">
      <c r="J39" s="570">
        <f>IF(NOT(BD11),"INVALID PIVOT INPUT",IF(AND(L9&lt;&gt;"",L12&lt;&gt;"",L13&lt;&gt;"",L14&lt;&gt;"",L15&lt;&gt;""),IF(BD10="GEOMETRY UNREACHABLE","GEOMETRY UNREACHABLE",IFERROR(DEGREES(BD10),"")),""))</f>
        <v>69.634844676069136</v>
      </c>
      <c r="K39" s="570"/>
      <c r="L39" s="569" t="s">
        <v>815</v>
      </c>
    </row>
    <row r="40" spans="2:27">
      <c r="D40" s="130"/>
      <c r="E40" s="130"/>
      <c r="F40" s="130"/>
      <c r="G40" s="130"/>
      <c r="H40" s="564"/>
      <c r="I40" s="580"/>
    </row>
    <row r="44" spans="2:27" ht="16.5">
      <c r="T44" s="277"/>
    </row>
    <row r="47" spans="2:27" ht="16.5">
      <c r="B47" s="572" t="s">
        <v>809</v>
      </c>
      <c r="H47" s="277"/>
    </row>
    <row r="48" spans="2:27" ht="15">
      <c r="B48" s="572" t="s">
        <v>810</v>
      </c>
    </row>
    <row r="49" spans="2:24" ht="16.5">
      <c r="B49" s="572" t="s">
        <v>811</v>
      </c>
      <c r="N49" s="277"/>
    </row>
    <row r="50" spans="2:24" ht="15">
      <c r="B50" s="573" t="s">
        <v>812</v>
      </c>
    </row>
    <row r="51" spans="2:24" ht="15">
      <c r="B51" s="573" t="s">
        <v>813</v>
      </c>
    </row>
    <row r="52" spans="2:24" ht="17.25">
      <c r="V52" s="570">
        <f>IF(NOT(BD11),"INVALID PIVOT INPUT",IF(AND(L9&lt;&gt;"",L12&lt;&gt;"",L13&lt;&gt;"",L14&lt;&gt;"",L15&lt;&gt;""),IF(BD10="GEOMETRY UNREACHABLE","GEOMETRY UNREACHABLE",L12+L13),""))</f>
        <v>27</v>
      </c>
      <c r="W52" s="570"/>
      <c r="X52" s="569" t="s">
        <v>50</v>
      </c>
    </row>
    <row r="53" spans="2:24">
      <c r="I53" s="124"/>
      <c r="J53" s="124"/>
      <c r="K53" s="124"/>
      <c r="L53" s="124"/>
      <c r="Q53" s="74"/>
      <c r="R53" s="74"/>
      <c r="S53" s="74"/>
      <c r="T53" s="74"/>
      <c r="U53" s="74"/>
      <c r="V53" s="74"/>
      <c r="W53" s="74"/>
    </row>
  </sheetData>
  <sheetProtection sheet="1" objects="1" scenarios="1" selectLockedCells="1"/>
  <mergeCells count="31">
    <mergeCell ref="C9:K9"/>
    <mergeCell ref="AB2:AD2"/>
    <mergeCell ref="B15:B16"/>
    <mergeCell ref="V52:W52"/>
    <mergeCell ref="C7:K7"/>
    <mergeCell ref="C6:K6"/>
    <mergeCell ref="L14:M14"/>
    <mergeCell ref="L11:M11"/>
    <mergeCell ref="L10:M10"/>
    <mergeCell ref="L9:M9"/>
    <mergeCell ref="J39:K39"/>
    <mergeCell ref="I53:L53"/>
    <mergeCell ref="J28:K28"/>
    <mergeCell ref="C11:K11"/>
    <mergeCell ref="C10:K10"/>
    <mergeCell ref="AB6:AM7"/>
    <mergeCell ref="P11:U13"/>
    <mergeCell ref="D40:H40"/>
    <mergeCell ref="C15:K16"/>
    <mergeCell ref="L15:M16"/>
    <mergeCell ref="N15:N16"/>
    <mergeCell ref="AM26:AN26"/>
    <mergeCell ref="U6:V6"/>
    <mergeCell ref="L6:M6"/>
    <mergeCell ref="C14:K14"/>
    <mergeCell ref="C13:K13"/>
    <mergeCell ref="C12:K12"/>
    <mergeCell ref="L13:M13"/>
    <mergeCell ref="L12:M12"/>
    <mergeCell ref="U7:V7"/>
    <mergeCell ref="L7:M7"/>
  </mergeCells>
  <conditionalFormatting sqref="J39">
    <cfRule type="expression" dxfId="81" priority="4" stopIfTrue="1">
      <formula>J39=""</formula>
    </cfRule>
    <cfRule type="cellIs" dxfId="80" priority="5" stopIfTrue="1" operator="greaterThanOrEqual">
      <formula>89</formula>
    </cfRule>
    <cfRule type="cellIs" dxfId="79" priority="6" operator="greaterThanOrEqual">
      <formula>85</formula>
    </cfRule>
  </conditionalFormatting>
  <conditionalFormatting sqref="J28">
    <cfRule type="expression" dxfId="78" priority="1" stopIfTrue="1">
      <formula>J28=""</formula>
    </cfRule>
    <cfRule type="cellIs" dxfId="77" priority="2" operator="lessThanOrEqual">
      <formula>$BD$12</formula>
    </cfRule>
    <cfRule type="cellIs" dxfId="76" priority="3" operator="between">
      <formula>0.000001</formula>
      <formula>0.999999</formula>
    </cfRule>
    <cfRule type="cellIs" dxfId="75" priority="7" operator="lessThanOrEqual">
      <formula>$BD$12</formula>
    </cfRule>
    <cfRule type="cellIs" dxfId="74" priority="8" operator="lessThan">
      <formula>0.5</formula>
    </cfRule>
  </conditionalFormatting>
  <dataValidations count="11">
    <dataValidation type="decimal" operator="greaterThanOrEqual" allowBlank="1" showInputMessage="1" showErrorMessage="1" errorTitle="Invalid" error="Enter boom section height &gt; 0 (metres)." sqref="L15" xr:uid="{000E7C36-EE6A-4B8B-9851-170BB473FB4C}">
      <formula1>0.1</formula1>
    </dataValidation>
    <dataValidation type="decimal" operator="greaterThanOrEqual" allowBlank="1" showInputMessage="1" showErrorMessage="1" errorTitle="Invalid" error="Enter obstacle height &gt; 0 (metres)." sqref="L14" xr:uid="{8AEC226F-EFAD-4999-AD7C-4FC0803ECACE}">
      <formula1>0.1</formula1>
    </dataValidation>
    <dataValidation type="decimal" operator="greaterThanOrEqual" allowBlank="1" showInputMessage="1" showErrorMessage="1" errorTitle="Invalid" error="Enter distance ≥ 0 (metres)." sqref="L13" xr:uid="{B993AD12-1BB7-4BBE-888B-1AA7BC7DD16F}">
      <formula1>0</formula1>
    </dataValidation>
    <dataValidation type="decimal" operator="greaterThanOrEqual" allowBlank="1" showInputMessage="1" showErrorMessage="1" errorTitle="Invalid" error="Enter distance &gt; 0 (metres)." sqref="L12" xr:uid="{E1A14FC0-236F-442D-940C-E47E7380B340}">
      <formula1>0.1</formula1>
    </dataValidation>
    <dataValidation type="decimal" operator="greaterThanOrEqual" allowBlank="1" showInputMessage="1" showErrorMessage="1" errorTitle="Invalid" error="Enter jib length ≥ 0 (metres), or leave blank." sqref="L10" xr:uid="{FB0FB356-517D-4546-8654-6B2D1828A824}">
      <formula1>0</formula1>
    </dataValidation>
    <dataValidation type="decimal" operator="greaterThanOrEqual" allowBlank="1" showInputMessage="1" showErrorMessage="1" errorTitle="Invalid" error="Enter boom length &gt; 0 (metres)." sqref="L9" xr:uid="{8F5E6104-C5E5-47DA-8F6C-25126048282A}">
      <formula1>0.1</formula1>
    </dataValidation>
    <dataValidation type="custom" allowBlank="1" showInputMessage="1" showErrorMessage="1" errorTitle="Jib length required" error="Enter jib length in L10 before entering jib offset angle." sqref="L11" xr:uid="{72E0BF96-BDD8-4BA5-BC85-EA44A1641220}">
      <formula1>L10&lt;&gt;""</formula1>
    </dataValidation>
    <dataValidation type="custom" allowBlank="1" showInputMessage="1" showErrorMessage="1" errorTitle="Invalid pivot input" error="Hydraulic pivot height must be a number &gt; 0, with crawler inputs blank." sqref="U6" xr:uid="{4BB4154E-89E8-4A20-877B-29DCBD99697E}">
      <formula1>OR(U6="",AND(ISNUMBER(U6),U6&gt;0,L7="",U7=""))</formula1>
    </dataValidation>
    <dataValidation type="custom" allowBlank="1" showInputMessage="1" showErrorMessage="1" errorTitle="Invalid pivot input" error="Hydraulic pivot distance must be a number ≥ 0, with crawler inputs blank." sqref="L6" xr:uid="{C15EE3E2-901B-44FA-843B-94759A19B3D7}">
      <formula1>OR(L6="",AND(ISNUMBER(L6),L6&gt;=0,L7="",U7=""))</formula1>
    </dataValidation>
    <dataValidation type="custom" allowBlank="1" showInputMessage="1" showErrorMessage="1" errorTitle="Invalid pivot input" error="Crawler pivot height must be a number &gt; 0, with hydraulic inputs blank." sqref="U7" xr:uid="{039C0193-5E3F-46C0-9DED-69E58F07F713}">
      <formula1>OR(U7="",AND(ISNUMBER(U7),U7&gt;0,L6="",U6=""))</formula1>
    </dataValidation>
    <dataValidation type="custom" allowBlank="1" showInputMessage="1" showErrorMessage="1" errorTitle="Invalid pivot input" error="Crawler pivot distance must be a number ≥ 0, with hydraulic inputs blank." sqref="L7" xr:uid="{50225C70-39C6-45CC-A586-3BDF4CD280E7}">
      <formula1>OR(L7="",AND(ISNUMBER(L7),L7&gt;=0,L6="",U6=""))</formula1>
    </dataValidation>
  </dataValidations>
  <hyperlinks>
    <hyperlink ref="AB2" location="Home!A1" display="Home" xr:uid="{B4C194D0-C423-45A6-B0F5-D649DB5A6F54}"/>
    <hyperlink ref="B50" r:id="rId1" xr:uid="{DFAD656C-BBB5-40FF-81A7-4A6BB971B8F9}"/>
    <hyperlink ref="B51" r:id="rId2" xr:uid="{BBB12426-A364-47EA-BC80-5207B4221596}"/>
  </hyperlinks>
  <pageMargins left="0.25" right="0.25" top="0.75" bottom="0.75" header="0.3" footer="0.3"/>
  <pageSetup paperSize="9" orientation="landscape" horizontalDpi="300" verticalDpi="300" r:id="rId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213E8-7B12-4966-95E0-E53EFEF77549}">
  <dimension ref="A2:O40"/>
  <sheetViews>
    <sheetView showGridLines="0" showRowColHeaders="0" zoomScale="90" zoomScaleNormal="90" workbookViewId="0">
      <selection activeCell="N13" sqref="N13"/>
      <extLst>
        <ext xmlns:xlsdti="http://schemas.microsoft.com/office/spreadsheetml/2023/showDataTypeIcons" uri="{77bfe23e-c014-4d31-8a63-9c772dbf06b6}">
          <xlsdti:showDataTypeIcons visible="0"/>
        </ext>
      </extLst>
    </sheetView>
  </sheetViews>
  <sheetFormatPr defaultRowHeight="12"/>
  <cols>
    <col min="1" max="1" width="5.7109375" style="175" customWidth="1"/>
    <col min="2" max="2" width="21.42578125" style="175" customWidth="1"/>
    <col min="3" max="15" width="9.140625" style="175"/>
    <col min="16" max="16" width="3.140625" style="175" customWidth="1"/>
    <col min="17" max="16384" width="9.140625" style="175"/>
  </cols>
  <sheetData>
    <row r="2" spans="1:15" ht="20.25">
      <c r="B2" s="66" t="s">
        <v>785</v>
      </c>
      <c r="O2" s="592" t="s">
        <v>298</v>
      </c>
    </row>
    <row r="4" spans="1:15" s="283" customFormat="1" ht="18" customHeight="1">
      <c r="B4" s="283" t="s">
        <v>438</v>
      </c>
      <c r="C4" s="8">
        <v>20000</v>
      </c>
      <c r="D4" s="283" t="s">
        <v>49</v>
      </c>
    </row>
    <row r="5" spans="1:15" s="283" customFormat="1" ht="18" customHeight="1">
      <c r="B5" s="283" t="s">
        <v>784</v>
      </c>
      <c r="C5" s="8">
        <v>3000</v>
      </c>
      <c r="D5" s="283" t="s">
        <v>783</v>
      </c>
    </row>
    <row r="6" spans="1:15" s="283" customFormat="1" ht="18" customHeight="1">
      <c r="B6" s="283" t="s">
        <v>782</v>
      </c>
      <c r="C6" s="8">
        <v>5000</v>
      </c>
      <c r="D6" s="283" t="s">
        <v>781</v>
      </c>
    </row>
    <row r="7" spans="1:15" s="283" customFormat="1" ht="18" customHeight="1">
      <c r="C7" s="88"/>
    </row>
    <row r="8" spans="1:15" s="283" customFormat="1" ht="18" customHeight="1">
      <c r="B8" s="284" t="s">
        <v>780</v>
      </c>
      <c r="C8" s="8">
        <v>15</v>
      </c>
      <c r="D8" s="283" t="s">
        <v>333</v>
      </c>
    </row>
    <row r="9" spans="1:15" s="283" customFormat="1" ht="18" customHeight="1">
      <c r="B9" s="284" t="s">
        <v>779</v>
      </c>
      <c r="C9" s="8">
        <v>15</v>
      </c>
      <c r="D9" s="283" t="s">
        <v>333</v>
      </c>
    </row>
    <row r="10" spans="1:15" s="283" customFormat="1" ht="18" customHeight="1">
      <c r="B10" s="284" t="s">
        <v>778</v>
      </c>
      <c r="C10" s="8">
        <v>60</v>
      </c>
      <c r="D10" s="283" t="s">
        <v>510</v>
      </c>
    </row>
    <row r="11" spans="1:15" s="283" customFormat="1" ht="18" customHeight="1">
      <c r="B11" s="284"/>
      <c r="C11" s="303"/>
    </row>
    <row r="12" spans="1:15" s="283" customFormat="1" ht="18" customHeight="1">
      <c r="B12" s="285" t="s">
        <v>504</v>
      </c>
      <c r="C12" s="285"/>
      <c r="D12" s="285"/>
      <c r="E12" s="285"/>
      <c r="F12" s="285"/>
    </row>
    <row r="13" spans="1:15" s="283" customFormat="1" ht="18" customHeight="1">
      <c r="B13" s="286" t="s">
        <v>679</v>
      </c>
      <c r="C13" s="11">
        <v>1.2</v>
      </c>
      <c r="D13" s="287" t="s">
        <v>507</v>
      </c>
      <c r="E13" s="285"/>
      <c r="F13" s="285"/>
    </row>
    <row r="14" spans="1:15" s="283" customFormat="1" ht="18" customHeight="1">
      <c r="C14" s="88"/>
    </row>
    <row r="15" spans="1:15" s="283" customFormat="1" ht="18" customHeight="1">
      <c r="B15" s="284" t="s">
        <v>777</v>
      </c>
      <c r="C15" s="288">
        <f>SQRT((MAX(C5,C6-C5)*TAN(RADIANS(IF($C$10="",60,$C$10))))^2+C5^2)</f>
        <v>5999.9999999999991</v>
      </c>
      <c r="D15" s="283" t="s">
        <v>1</v>
      </c>
    </row>
    <row r="16" spans="1:15" ht="18" customHeight="1">
      <c r="A16" s="283"/>
      <c r="B16" s="284" t="s">
        <v>776</v>
      </c>
      <c r="C16" s="288">
        <f>SQRT((MAX(C5,C6-C5)*TAN(RADIANS(IF($C$10="",60,$C$10))))^2+(C6-C5)^2)</f>
        <v>5567.7643628300202</v>
      </c>
      <c r="D16" s="283" t="s">
        <v>1</v>
      </c>
      <c r="E16" s="283"/>
      <c r="F16" s="283"/>
    </row>
    <row r="17" spans="1:15" ht="18" customHeight="1">
      <c r="A17" s="283"/>
      <c r="B17" s="284"/>
      <c r="C17" s="289"/>
      <c r="D17" s="283"/>
      <c r="E17" s="283"/>
      <c r="F17" s="283"/>
    </row>
    <row r="18" spans="1:15" ht="18" customHeight="1">
      <c r="B18" s="284" t="s">
        <v>775</v>
      </c>
      <c r="C18" s="288">
        <f>IF(OR(C5&gt;=C6,C4&lt;=0,C5&lt;=0,C6&lt;=0,ISBLANK(C4),ISBLANK(C5),ISBLANK(C6)),"CHECK INPUTS",IFERROR(C4*(C6-C5)/C6,"CHECK INPUTS"))</f>
        <v>8000</v>
      </c>
      <c r="D18" s="283" t="s">
        <v>49</v>
      </c>
      <c r="E18" s="283"/>
      <c r="F18" s="283"/>
    </row>
    <row r="19" spans="1:15" ht="18" customHeight="1">
      <c r="B19" s="284" t="s">
        <v>204</v>
      </c>
      <c r="C19" s="288">
        <f>IF(OR(C5&gt;=C6,C4&lt;=0,C5&lt;=0,C6&lt;=0,ISBLANK(C4),ISBLANK(C5),ISBLANK(C6)),"CHECK INPUTS",IFERROR(C4*(C6-C5)/C6*C15/(MAX(C5,C6-C5)*TAN(RADIANS(IF($C$10="",60,$C$10))))*IF(ISBLANK($C$13),1,$C$13),"CHECK INPUTS"))</f>
        <v>11085.125168440814</v>
      </c>
      <c r="D19" s="283" t="s">
        <v>49</v>
      </c>
      <c r="E19" s="283"/>
      <c r="F19" s="283"/>
    </row>
    <row r="20" spans="1:15" ht="18" customHeight="1">
      <c r="B20" s="284" t="s">
        <v>774</v>
      </c>
      <c r="C20" s="288">
        <f>IF(OR(C8="",ISTEXT(C19)),"",C19/(C8*1000)*100)</f>
        <v>73.900834456272094</v>
      </c>
      <c r="D20" s="283" t="s">
        <v>471</v>
      </c>
      <c r="E20" s="283"/>
      <c r="F20" s="283"/>
    </row>
    <row r="21" spans="1:15" ht="18" customHeight="1">
      <c r="B21" s="284"/>
      <c r="C21" s="289"/>
      <c r="D21" s="283"/>
      <c r="E21" s="283"/>
      <c r="F21" s="283"/>
    </row>
    <row r="22" spans="1:15" ht="18" customHeight="1">
      <c r="B22" s="284" t="s">
        <v>773</v>
      </c>
      <c r="C22" s="288">
        <f>IF(OR(C5&gt;=C6,C4&lt;=0,C5&lt;=0,C6&lt;=0,ISBLANK(C4),ISBLANK(C5),ISBLANK(C6)),"CHECK INPUTS",IFERROR(C4*C5/C6,"CHECK INPUTS"))</f>
        <v>12000</v>
      </c>
      <c r="D22" s="283" t="s">
        <v>49</v>
      </c>
      <c r="E22" s="283"/>
      <c r="F22" s="283"/>
    </row>
    <row r="23" spans="1:15" ht="18" customHeight="1">
      <c r="B23" s="284" t="s">
        <v>205</v>
      </c>
      <c r="C23" s="288">
        <f>IF(OR(C5&gt;=C6,C4&lt;=0,C5&lt;=0,C6&lt;=0,ISBLANK(C4),ISBLANK(C5),ISBLANK(C6)),"CHECK INPUTS",IFERROR(C4*C5/C6*C16/(MAX(C5,C6-C5)*TAN(RADIANS(IF($C$10="",60,$C$10))))*IF(ISBLANK($C$13),1,$C$13),"CHECK INPUTS"))</f>
        <v>15429.841217588728</v>
      </c>
      <c r="D23" s="283" t="s">
        <v>49</v>
      </c>
      <c r="E23" s="283"/>
      <c r="F23" s="283"/>
    </row>
    <row r="24" spans="1:15" ht="18" customHeight="1">
      <c r="B24" s="284" t="s">
        <v>772</v>
      </c>
      <c r="C24" s="288">
        <f>IF(OR(C9="",ISTEXT(C23)),"",C23/(C9*1000)*100)</f>
        <v>102.86560811725818</v>
      </c>
      <c r="D24" s="283" t="s">
        <v>471</v>
      </c>
      <c r="E24" s="283"/>
      <c r="F24" s="283"/>
    </row>
    <row r="25" spans="1:15" ht="18" customHeight="1">
      <c r="B25" s="283"/>
      <c r="C25" s="283"/>
      <c r="D25" s="283"/>
      <c r="E25" s="283"/>
    </row>
    <row r="26" spans="1:15" ht="18" customHeight="1">
      <c r="B26" s="181" t="str">
        <f>IF(C5&gt;=C6,"⚠ Offset check FAIL — A≥B","✓ Offset checks OK")</f>
        <v>✓ Offset checks OK</v>
      </c>
      <c r="C26" s="283"/>
      <c r="D26" s="283"/>
      <c r="E26" s="283"/>
      <c r="G26" s="290" t="s">
        <v>771</v>
      </c>
      <c r="H26" s="291"/>
      <c r="I26" s="291"/>
      <c r="J26" s="291"/>
      <c r="K26" s="291"/>
      <c r="L26" s="291"/>
      <c r="M26" s="291"/>
      <c r="N26" s="291"/>
      <c r="O26" s="292"/>
    </row>
    <row r="27" spans="1:15" ht="18" customHeight="1">
      <c r="B27" s="181" t="str">
        <f>IF(OR(COUNTBLANK(C4:C6)&gt;0,MIN(C4:C6)&lt;=0),"⚠ Input ≤ 0 or blank detected","✓ Input ranges OK")</f>
        <v>✓ Input ranges OK</v>
      </c>
      <c r="C27" s="283"/>
      <c r="D27" s="283"/>
      <c r="E27" s="283"/>
    </row>
    <row r="28" spans="1:15" ht="18" customHeight="1">
      <c r="B28" s="181" t="str">
        <f>IF(OR(C6="",ISTEXT(C19),ISTEXT(C23)),"",IF(MIN(C19,C23)&lt;0,"⚠ Negative tension detected","✓ All tensions positive"))</f>
        <v>✓ All tensions positive</v>
      </c>
    </row>
    <row r="29" spans="1:15" ht="18" customHeight="1">
      <c r="B29" s="293"/>
    </row>
    <row r="30" spans="1:15" ht="18" customHeight="1"/>
    <row r="31" spans="1:15" ht="18" customHeight="1"/>
    <row r="32" spans="1:15" ht="18" customHeight="1">
      <c r="B32" s="294" t="s">
        <v>770</v>
      </c>
      <c r="C32" s="295"/>
      <c r="D32" s="295"/>
      <c r="E32" s="296"/>
    </row>
    <row r="33" spans="2:5" ht="18" customHeight="1">
      <c r="B33" s="297"/>
      <c r="C33" s="561"/>
      <c r="D33" s="561"/>
      <c r="E33" s="299"/>
    </row>
    <row r="34" spans="2:5" ht="18" customHeight="1">
      <c r="B34" s="581"/>
      <c r="C34" s="301"/>
      <c r="D34" s="301"/>
      <c r="E34" s="302"/>
    </row>
    <row r="35" spans="2:5" ht="18" customHeight="1">
      <c r="C35" s="358"/>
      <c r="D35" s="358"/>
      <c r="E35" s="358"/>
    </row>
    <row r="36" spans="2:5" ht="18" customHeight="1">
      <c r="B36" s="572" t="s">
        <v>810</v>
      </c>
      <c r="C36" s="358"/>
      <c r="D36" s="358"/>
      <c r="E36" s="358"/>
    </row>
    <row r="37" spans="2:5" ht="18" customHeight="1">
      <c r="B37" s="572" t="s">
        <v>811</v>
      </c>
      <c r="C37" s="358"/>
      <c r="D37" s="358"/>
      <c r="E37" s="358"/>
    </row>
    <row r="38" spans="2:5" ht="18" customHeight="1">
      <c r="B38" s="573" t="s">
        <v>812</v>
      </c>
    </row>
    <row r="39" spans="2:5" ht="18" customHeight="1">
      <c r="B39" s="573" t="s">
        <v>813</v>
      </c>
    </row>
    <row r="40" spans="2:5" ht="18" customHeight="1"/>
  </sheetData>
  <sheetProtection sheet="1" objects="1" scenarios="1" selectLockedCells="1"/>
  <mergeCells count="2">
    <mergeCell ref="G26:O26"/>
    <mergeCell ref="B32:E34"/>
  </mergeCells>
  <conditionalFormatting sqref="B26:B28">
    <cfRule type="expression" dxfId="73" priority="1">
      <formula>LEFT(B26,1)="⚠"</formula>
    </cfRule>
    <cfRule type="expression" dxfId="72" priority="2">
      <formula>LEFT(B26,1)="✓"</formula>
    </cfRule>
  </conditionalFormatting>
  <conditionalFormatting sqref="C20">
    <cfRule type="expression" dxfId="71" priority="3">
      <formula>AND(ISNUMBER(C20),C20&gt;=100)</formula>
    </cfRule>
    <cfRule type="expression" dxfId="70" priority="4">
      <formula>AND(ISNUMBER(C20),C20&gt;90)</formula>
    </cfRule>
  </conditionalFormatting>
  <conditionalFormatting sqref="C24">
    <cfRule type="expression" dxfId="69" priority="5">
      <formula>AND(ISNUMBER(C24),C24&gt;=100)</formula>
    </cfRule>
    <cfRule type="expression" dxfId="68" priority="6">
      <formula>AND(ISNUMBER(C24),C24&gt;90)</formula>
    </cfRule>
  </conditionalFormatting>
  <dataValidations count="6">
    <dataValidation type="decimal" allowBlank="1" showInputMessage="1" showErrorMessage="1" errorTitle="Invalid DAF" error="DAF must be between 1.1 and 5" sqref="C13" xr:uid="{3EEF3652-03B0-44F7-93B8-24F88630E8AA}">
      <formula1>1.1</formula1>
      <formula2>5</formula2>
    </dataValidation>
    <dataValidation type="decimal" allowBlank="1" showInputMessage="1" showErrorMessage="1" errorTitle="Invalid angle" error="Value outside acceptable range" sqref="C10:C11" xr:uid="{203215E9-00EF-45F9-80D2-2909DDEE83EF}">
      <formula1>30</formula1>
      <formula2>75</formula2>
    </dataValidation>
    <dataValidation type="decimal" operator="greaterThan" showInputMessage="1" showErrorMessage="1" errorTitle="Invalid SWL" error="Sling SWL must be a number &gt; 0." sqref="C8:C9" xr:uid="{BCE32E24-DD16-4A38-A018-5EAEAC138DE2}">
      <formula1>0</formula1>
    </dataValidation>
    <dataValidation type="decimal" operator="greaterThan" showInputMessage="1" showErrorMessage="1" errorTitle="Invalid distance" error="Distance B must be a number &gt; 0." sqref="C6" xr:uid="{A915E235-49FD-49B6-BC67-89523A2FEA80}">
      <formula1>0</formula1>
    </dataValidation>
    <dataValidation type="decimal" operator="greaterThan" showInputMessage="1" showErrorMessage="1" errorTitle="Invalid distance" error="Distance A must be a number &gt; 0." sqref="C5" xr:uid="{5FA5C45E-318D-4F2C-9B08-4CCD9CA47988}">
      <formula1>0</formula1>
    </dataValidation>
    <dataValidation type="decimal" operator="greaterThan" showInputMessage="1" showErrorMessage="1" errorTitle="Invalid weight" error="Load weight must be a number &gt; 0." sqref="C4" xr:uid="{F7DFD9EF-EF9E-4F36-B51A-11183764067C}">
      <formula1>0</formula1>
    </dataValidation>
  </dataValidations>
  <hyperlinks>
    <hyperlink ref="O2" location="Home!A1" display="Home" xr:uid="{9EB942DB-DAA8-412B-BA67-1C8E09B0FA60}"/>
    <hyperlink ref="B38" r:id="rId1" xr:uid="{B65D79EF-BB12-466A-BC89-AF074D9076EC}"/>
    <hyperlink ref="B39" r:id="rId2" xr:uid="{2717AA27-2F44-4C8A-80D9-ABDCBA42E091}"/>
  </hyperlinks>
  <pageMargins left="0.25" right="0.25" top="0.75" bottom="0.75" header="0.3" footer="0.3"/>
  <pageSetup paperSize="9" orientation="landscape" horizontalDpi="300" verticalDpi="300"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2E5B-3E2D-4D05-B9B1-F4887A224805}">
  <dimension ref="A1:T33"/>
  <sheetViews>
    <sheetView showGridLines="0" showRowColHeaders="0" zoomScale="90" zoomScaleNormal="90" workbookViewId="0">
      <selection activeCell="N13" sqref="N13"/>
      <extLst>
        <ext xmlns:xlsdti="http://schemas.microsoft.com/office/spreadsheetml/2023/showDataTypeIcons" uri="{77bfe23e-c014-4d31-8a63-9c772dbf06b6}">
          <xlsdti:showDataTypeIcons visible="0"/>
        </ext>
      </extLst>
    </sheetView>
  </sheetViews>
  <sheetFormatPr defaultRowHeight="15"/>
  <cols>
    <col min="1" max="1" width="5.7109375" style="175" customWidth="1"/>
    <col min="2" max="2" width="20.85546875" style="175" customWidth="1"/>
    <col min="3" max="4" width="9.140625" style="175"/>
    <col min="5" max="6" width="9.140625" style="68"/>
    <col min="7" max="7" width="7" style="175" customWidth="1"/>
    <col min="8" max="8" width="12.5703125" style="175" bestFit="1" customWidth="1"/>
    <col min="9" max="9" width="9.140625" style="175"/>
    <col min="10" max="10" width="12.5703125" style="175" bestFit="1" customWidth="1"/>
    <col min="11" max="11" width="1.42578125" style="175" customWidth="1"/>
    <col min="12" max="12" width="4.7109375" style="175" customWidth="1"/>
    <col min="13" max="13" width="13.7109375" style="175" customWidth="1"/>
    <col min="14" max="14" width="4.7109375" style="175" customWidth="1"/>
    <col min="15" max="15" width="13.7109375" style="304" customWidth="1"/>
    <col min="16" max="16" width="4.7109375" style="88" customWidth="1"/>
    <col min="17" max="17" width="13.7109375" style="175" customWidth="1"/>
    <col min="18" max="18" width="4.7109375" style="175" customWidth="1"/>
    <col min="19" max="19" width="9.140625" style="175"/>
    <col min="20" max="20" width="4.140625" style="175" customWidth="1"/>
    <col min="21" max="16384" width="9.140625" style="175"/>
  </cols>
  <sheetData>
    <row r="1" spans="1:20" ht="18" customHeight="1"/>
    <row r="2" spans="1:20" ht="18" customHeight="1">
      <c r="B2" s="66" t="s">
        <v>796</v>
      </c>
      <c r="S2" s="592" t="s">
        <v>298</v>
      </c>
    </row>
    <row r="3" spans="1:20" ht="18" customHeight="1">
      <c r="S3" s="1"/>
    </row>
    <row r="4" spans="1:20" s="283" customFormat="1" ht="18" customHeight="1">
      <c r="B4" s="283" t="s">
        <v>438</v>
      </c>
      <c r="C4" s="8">
        <v>20000</v>
      </c>
      <c r="D4" s="283" t="s">
        <v>49</v>
      </c>
      <c r="L4" s="175"/>
      <c r="M4" s="181" t="s">
        <v>465</v>
      </c>
      <c r="N4" s="175"/>
      <c r="O4" s="181" t="s">
        <v>466</v>
      </c>
      <c r="P4" s="88"/>
      <c r="Q4" s="181" t="s">
        <v>467</v>
      </c>
      <c r="R4" s="175"/>
      <c r="S4" s="181" t="s">
        <v>469</v>
      </c>
      <c r="T4" s="175"/>
    </row>
    <row r="5" spans="1:20" s="283" customFormat="1" ht="18" customHeight="1">
      <c r="B5" s="283" t="s">
        <v>784</v>
      </c>
      <c r="C5" s="8">
        <v>8000</v>
      </c>
      <c r="D5" s="283" t="s">
        <v>1</v>
      </c>
      <c r="M5" s="181" t="s">
        <v>1</v>
      </c>
      <c r="N5" s="175"/>
      <c r="O5" s="181" t="s">
        <v>49</v>
      </c>
      <c r="P5" s="175"/>
      <c r="Q5" s="181" t="s">
        <v>49</v>
      </c>
      <c r="S5" s="181" t="s">
        <v>471</v>
      </c>
    </row>
    <row r="6" spans="1:20" s="283" customFormat="1" ht="18" customHeight="1">
      <c r="B6" s="283" t="s">
        <v>782</v>
      </c>
      <c r="C6" s="8">
        <v>2500</v>
      </c>
      <c r="D6" s="283" t="s">
        <v>1</v>
      </c>
      <c r="L6" s="181">
        <v>1</v>
      </c>
      <c r="M6" s="288">
        <f>SQRT(MAX(C6-C8,C8)^2*TAN(RADIANS(IF($C$18="",60,$C$18)))^2+(C6-C8)^2)</f>
        <v>2799.9999999999995</v>
      </c>
      <c r="O6" s="288">
        <f>IF(OR(C8&gt;=C6,C4&lt;=0,C6&lt;=0,C8&lt;0,ISBLANK(C4),ISBLANK(C6),ISBLANK(C8),AND(C16&lt;&gt;"",OR(NOT(ISNUMBER(C16)),C16&lt;0))),"CHECK INPUTS",IFERROR(C4*C8/C6+IF(C16="",0,C16)/2,"CHECK INPUTS"))</f>
        <v>9300</v>
      </c>
      <c r="Q6" s="288">
        <f>IF(ISTEXT(O6),"CHECK INPUTS",IFERROR(O6*M6/(MAX(C6-C8,C8)*TAN(RADIANS(IF($C$18="",60,$C$18))))*IF(ISBLANK($C$27),1,$C$27),"CHECK INPUTS"))</f>
        <v>12886.458008312449</v>
      </c>
      <c r="S6" s="288">
        <f>IF(ISTEXT(Q6),"",IF(OR(NOT(ISNUMBER(C10)),C10&lt;=0),"SWL NOT ASSESSED",Q6/(C10*1000)*100))</f>
        <v>85.909720055416329</v>
      </c>
    </row>
    <row r="7" spans="1:20" s="283" customFormat="1" ht="18" customHeight="1">
      <c r="B7" s="283" t="s">
        <v>795</v>
      </c>
      <c r="C7" s="8">
        <v>3500</v>
      </c>
      <c r="D7" s="283" t="s">
        <v>1</v>
      </c>
      <c r="L7" s="181">
        <v>2</v>
      </c>
      <c r="M7" s="288">
        <f>SQRT(MAX(C6-C8,C8)^2*TAN(RADIANS(IF($C$18="",60,$C$18)))^2+C8^2)</f>
        <v>2662.7053911388689</v>
      </c>
      <c r="O7" s="288">
        <f>IF(OR(C8&gt;=C6,C4&lt;=0,C6&lt;=0,C8&lt;0,ISBLANK(C4),ISBLANK(C6),ISBLANK(C8),AND(C16&lt;&gt;"",OR(NOT(ISNUMBER(C16)),C16&lt;0))),"CHECK INPUTS",IFERROR(C4*(C6-C8)/C6+IF(C16="",0,C16)/2,"CHECK INPUTS"))</f>
        <v>11700</v>
      </c>
      <c r="Q7" s="288">
        <f>IF(ISTEXT(O7),"CHECK INPUTS",IFERROR(O7*M7/(MAX(C6-C8,C8)*TAN(RADIANS(IF($C$18="",60,$C$18))))*IF(ISBLANK($C$27),1,$C$27),"CHECK INPUTS"))</f>
        <v>15417.059991305417</v>
      </c>
      <c r="S7" s="288">
        <f>IF(ISTEXT(Q7),"",IF(OR(NOT(ISNUMBER(C11)),C11&lt;=0),"SWL NOT ASSESSED",Q7/(C11*1000)*100))</f>
        <v>102.78039994203611</v>
      </c>
    </row>
    <row r="8" spans="1:20" s="283" customFormat="1" ht="18" customHeight="1">
      <c r="B8" s="283" t="s">
        <v>794</v>
      </c>
      <c r="C8" s="8">
        <v>1100</v>
      </c>
      <c r="D8" s="283" t="s">
        <v>1</v>
      </c>
      <c r="L8" s="181"/>
      <c r="S8" s="88"/>
    </row>
    <row r="9" spans="1:20" s="283" customFormat="1" ht="18" customHeight="1">
      <c r="C9" s="88"/>
      <c r="L9" s="181">
        <v>3</v>
      </c>
      <c r="M9" s="288">
        <f>SQRT(MAX(C7,C5-C7)^2*TAN(RADIANS(IF($C$19="",60,$C$19)))^2+C7^2)</f>
        <v>8544.00374531753</v>
      </c>
      <c r="O9" s="288">
        <f>IF(OR(C7&gt;=C5,C8&gt;=C6,C4&lt;=0,C5&lt;=0,C6&lt;=0,C7&lt;0,C8&lt;0,ISBLANK(C4),ISBLANK(C5),ISBLANK(C6),ISBLANK(C7),ISBLANK(C8)),"CHECK INPUTS",IFERROR(C4*C8/C6*(C5-C7)/C5,"CHECK INPUTS"))</f>
        <v>4950</v>
      </c>
      <c r="Q9" s="288">
        <f>IF(OR(C7&gt;=C5,C8&gt;=C6,C4&lt;=0,C5&lt;=0,C6&lt;=0,C7&lt;0,C8&lt;0,ISBLANK(C4),ISBLANK(C5),ISBLANK(C6),ISBLANK(C7),ISBLANK(C8)),"CHECK INPUTS",IFERROR(C4*C8/C6*(C5-C7)/C5*M9/(MAX(C7,C5-C7)*TAN(RADIANS(IF($C$19="",60,$C$19))))*IF(ISBLANK($C$27),1,$C$27),"CHECK INPUTS"))</f>
        <v>6511.4053782574474</v>
      </c>
      <c r="S9" s="288">
        <f>IF(ISTEXT(Q9),"",IF(OR(NOT(ISNUMBER(C12)),C12&lt;=0),"SWL NOT ASSESSED",Q9/(C12*1000)*100))</f>
        <v>81.392567228218098</v>
      </c>
    </row>
    <row r="10" spans="1:20" ht="18" customHeight="1">
      <c r="A10" s="283"/>
      <c r="B10" s="283" t="s">
        <v>780</v>
      </c>
      <c r="C10" s="8">
        <v>15</v>
      </c>
      <c r="D10" s="283" t="s">
        <v>333</v>
      </c>
      <c r="E10" s="283"/>
      <c r="F10" s="283"/>
      <c r="G10" s="283"/>
      <c r="L10" s="181">
        <v>4</v>
      </c>
      <c r="M10" s="288">
        <f>SQRT(MAX(C7,C5-C7)^2*TAN(RADIANS(IF($C$19="",60,$C$19)))^2+(C5-C7)^2)</f>
        <v>8999.9999999999982</v>
      </c>
      <c r="N10" s="283"/>
      <c r="O10" s="288">
        <f>IF(OR(C7&gt;=C5,C8&gt;=C6,C4&lt;=0,C5&lt;=0,C6&lt;=0,C7&lt;0,C8&lt;0,ISBLANK(C4),ISBLANK(C5),ISBLANK(C6),ISBLANK(C7),ISBLANK(C8)),"CHECK INPUTS",IFERROR(C4*C8/C6*C7/C5,"CHECK INPUTS"))</f>
        <v>3850</v>
      </c>
      <c r="P10" s="283"/>
      <c r="Q10" s="288">
        <f>IF(OR(C7&gt;=C5,C8&gt;=C6,C4&lt;=0,C5&lt;=0,C6&lt;=0,C7&lt;0,C8&lt;0,ISBLANK(C4),ISBLANK(C5),ISBLANK(C6),ISBLANK(C7),ISBLANK(C8)),"CHECK INPUTS",IFERROR(C4*C8/C6*C7/C5*M10/(MAX(C7,C5-C7)*TAN(RADIANS(IF($C$19="",60,$C$19))))*IF(ISBLANK($C$27),1,$C$27),"CHECK INPUTS"))</f>
        <v>5334.7164873121428</v>
      </c>
      <c r="R10" s="283"/>
      <c r="S10" s="288">
        <f>IF(ISTEXT(Q10),"",IF(OR(NOT(ISNUMBER(C13)),C13&lt;=0),"SWL NOT ASSESSED",Q10/(C13*1000)*100))</f>
        <v>66.683956091401782</v>
      </c>
      <c r="T10" s="283"/>
    </row>
    <row r="11" spans="1:20" ht="18" customHeight="1">
      <c r="A11" s="283"/>
      <c r="B11" s="283" t="s">
        <v>779</v>
      </c>
      <c r="C11" s="8">
        <v>15</v>
      </c>
      <c r="D11" s="283" t="s">
        <v>333</v>
      </c>
      <c r="E11" s="283"/>
      <c r="F11" s="283"/>
      <c r="G11" s="283"/>
      <c r="L11" s="305">
        <v>5</v>
      </c>
      <c r="M11" s="288">
        <f>SQRT(MAX(C7,C5-C7)^2*TAN(RADIANS(IF($C$19="",60,$C$19)))^2+C7^2)</f>
        <v>8544.00374531753</v>
      </c>
      <c r="N11" s="283"/>
      <c r="O11" s="288">
        <f>IF(OR(C7&gt;=C5,C8&gt;=C6,C4&lt;=0,C5&lt;=0,C6&lt;=0,C7&lt;0,C8&lt;0,ISBLANK(C4),ISBLANK(C5),ISBLANK(C6),ISBLANK(C7),ISBLANK(C8)),"CHECK INPUTS",IFERROR(C4*(C6-C8)/C6*(C5-C7)/C5,"CHECK INPUTS"))</f>
        <v>6300</v>
      </c>
      <c r="P11" s="283"/>
      <c r="Q11" s="288">
        <f>IF(OR(C7&gt;=C5,C8&gt;=C6,C4&lt;=0,C5&lt;=0,C6&lt;=0,C7&lt;0,C8&lt;0,ISBLANK(C4),ISBLANK(C5),ISBLANK(C6),ISBLANK(C7),ISBLANK(C8)),"CHECK INPUTS",IFERROR(C4*(C6-C8)/C6*(C5-C7)/C5*M11/(MAX(C7,C5-C7)*TAN(RADIANS(IF($C$19="",60,$C$19))))*IF(ISBLANK($C$27),1,$C$27),"CHECK INPUTS"))</f>
        <v>8287.2432086912959</v>
      </c>
      <c r="S11" s="288">
        <f>IF(ISTEXT(Q11),"",IF(OR(NOT(ISNUMBER(C14)),C14&lt;=0),"SWL NOT ASSESSED",Q11/(C14*1000)*100))</f>
        <v>103.59054010864119</v>
      </c>
    </row>
    <row r="12" spans="1:20" ht="18" customHeight="1">
      <c r="A12" s="283"/>
      <c r="B12" s="283" t="s">
        <v>793</v>
      </c>
      <c r="C12" s="8">
        <v>8</v>
      </c>
      <c r="D12" s="283" t="s">
        <v>333</v>
      </c>
      <c r="E12" s="283"/>
      <c r="F12" s="283"/>
      <c r="G12" s="283"/>
      <c r="L12" s="305">
        <v>6</v>
      </c>
      <c r="M12" s="288">
        <f>SQRT(MAX(C7,C5-C7)^2*TAN(RADIANS(IF($C$19="",60,$C$19)))^2+(C5-C7)^2)</f>
        <v>8999.9999999999982</v>
      </c>
      <c r="O12" s="288">
        <f>IF(OR(C7&gt;=C5,C8&gt;=C6,C4&lt;=0,C5&lt;=0,C6&lt;=0,C7&lt;0,C8&lt;0,ISBLANK(C4),ISBLANK(C5),ISBLANK(C6),ISBLANK(C7),ISBLANK(C8)),"CHECK INPUTS",IFERROR(C4*(C6-C8)/C6*C7/C5,"CHECK INPUTS"))</f>
        <v>4900</v>
      </c>
      <c r="P12" s="175"/>
      <c r="Q12" s="288">
        <f>IF(OR(C7&gt;=C5,C8&gt;=C6,C4&lt;=0,C5&lt;=0,C6&lt;=0,C7&lt;0,C8&lt;0,ISBLANK(C4),ISBLANK(C5),ISBLANK(C6),ISBLANK(C7),ISBLANK(C8)),"CHECK INPUTS",IFERROR(C4*(C6-C8)/C6*C7/C5*M12/(MAX(C7,C5-C7)*TAN(RADIANS(IF($C$19="",60,$C$19))))*IF(ISBLANK($C$27),1,$C$27),"CHECK INPUTS"))</f>
        <v>6789.6391656699989</v>
      </c>
      <c r="S12" s="288">
        <f>IF(ISTEXT(Q12),"",IF(OR(NOT(ISNUMBER(C15)),C15&lt;=0),"SWL NOT ASSESSED",Q12/(C15*1000)*100))</f>
        <v>84.87048957087498</v>
      </c>
    </row>
    <row r="13" spans="1:20" ht="18" customHeight="1">
      <c r="A13" s="283"/>
      <c r="B13" s="283" t="s">
        <v>792</v>
      </c>
      <c r="C13" s="8">
        <v>8</v>
      </c>
      <c r="D13" s="283" t="s">
        <v>333</v>
      </c>
      <c r="E13" s="283"/>
      <c r="F13" s="283"/>
      <c r="G13" s="283"/>
      <c r="O13" s="306"/>
    </row>
    <row r="14" spans="1:20" ht="18" customHeight="1">
      <c r="A14" s="283"/>
      <c r="B14" s="283" t="s">
        <v>791</v>
      </c>
      <c r="C14" s="8">
        <v>8</v>
      </c>
      <c r="D14" s="283" t="s">
        <v>333</v>
      </c>
      <c r="E14" s="283"/>
      <c r="F14" s="283"/>
      <c r="G14" s="283"/>
      <c r="M14" s="181" t="str">
        <f>IF(C5="","",IF(OR(C7&gt;=C5,C8&gt;=C6),"⚠ Offset check FAIL — "&amp;IF(C7&gt;=C5,"C≥A ","")&amp;IF(C8&gt;=C6,"D≥B",""),"✓ Offset checks OK"))</f>
        <v>✓ Offset checks OK</v>
      </c>
      <c r="O14" s="307"/>
    </row>
    <row r="15" spans="1:20" ht="18" customHeight="1">
      <c r="A15" s="283"/>
      <c r="B15" s="283" t="s">
        <v>790</v>
      </c>
      <c r="C15" s="8">
        <v>8</v>
      </c>
      <c r="D15" s="283" t="s">
        <v>333</v>
      </c>
      <c r="E15" s="283"/>
      <c r="F15" s="283"/>
      <c r="G15" s="283"/>
      <c r="M15" s="181" t="str">
        <f>IF(OR(COUNTBLANK(C4:C8)&gt;0,ISBLANK(C16)),"⚠ Blank input detected",IF(OR(MIN(C4:C8)&lt;=0,C16&lt;0),"⚠ Input ≤ 0 detected","✓ Input ranges OK"))</f>
        <v>✓ Input ranges OK</v>
      </c>
      <c r="O15" s="308"/>
    </row>
    <row r="16" spans="1:20" ht="18" customHeight="1">
      <c r="A16" s="283"/>
      <c r="B16" s="283" t="s">
        <v>789</v>
      </c>
      <c r="C16" s="8">
        <v>1000</v>
      </c>
      <c r="D16" s="283" t="s">
        <v>49</v>
      </c>
      <c r="E16" s="283"/>
      <c r="F16" s="283"/>
      <c r="G16" s="283"/>
      <c r="M16" s="181" t="str">
        <f>IF(OR(C5="",ISTEXT(Q6),ISTEXT(Q9)),"",IF(MIN(Q6:Q7,Q9:Q12)&lt;0,"⚠ Negative tension detected","✓ All tensions positive"))</f>
        <v>✓ All tensions positive</v>
      </c>
      <c r="O16" s="307"/>
    </row>
    <row r="17" spans="1:16" ht="18" customHeight="1">
      <c r="A17" s="283"/>
      <c r="B17" s="283"/>
      <c r="C17" s="283"/>
      <c r="D17" s="283"/>
      <c r="E17" s="283"/>
      <c r="F17" s="283"/>
      <c r="G17" s="283"/>
      <c r="O17" s="308"/>
    </row>
    <row r="18" spans="1:16" ht="18" customHeight="1">
      <c r="B18" s="309" t="s">
        <v>788</v>
      </c>
      <c r="C18" s="8">
        <v>60</v>
      </c>
      <c r="D18" s="310"/>
      <c r="O18" s="306"/>
    </row>
    <row r="19" spans="1:16" ht="18" customHeight="1">
      <c r="B19" s="311" t="s">
        <v>787</v>
      </c>
      <c r="C19" s="8">
        <v>60</v>
      </c>
      <c r="D19" s="312"/>
      <c r="G19" s="283"/>
      <c r="O19" s="306"/>
    </row>
    <row r="20" spans="1:16" ht="18" customHeight="1">
      <c r="B20" s="313" t="s">
        <v>502</v>
      </c>
      <c r="C20" s="314"/>
      <c r="D20" s="315"/>
      <c r="F20" s="294" t="s">
        <v>786</v>
      </c>
      <c r="G20" s="295"/>
      <c r="H20" s="295"/>
      <c r="I20" s="296"/>
      <c r="O20" s="316"/>
    </row>
    <row r="21" spans="1:16" ht="18" customHeight="1">
      <c r="B21" s="313"/>
      <c r="C21" s="314"/>
      <c r="D21" s="315"/>
      <c r="F21" s="297"/>
      <c r="G21" s="298"/>
      <c r="H21" s="298"/>
      <c r="I21" s="299"/>
      <c r="O21" s="306"/>
    </row>
    <row r="22" spans="1:16" ht="18" customHeight="1">
      <c r="B22" s="313"/>
      <c r="C22" s="314"/>
      <c r="D22" s="315"/>
      <c r="E22" s="307"/>
      <c r="F22" s="297"/>
      <c r="G22" s="298"/>
      <c r="H22" s="298"/>
      <c r="I22" s="299"/>
      <c r="O22" s="307"/>
      <c r="P22" s="307"/>
    </row>
    <row r="23" spans="1:16" ht="18" customHeight="1">
      <c r="B23" s="317"/>
      <c r="C23" s="318"/>
      <c r="D23" s="319"/>
      <c r="E23" s="307"/>
      <c r="F23" s="300"/>
      <c r="G23" s="301"/>
      <c r="H23" s="301"/>
      <c r="I23" s="302"/>
      <c r="O23" s="307"/>
      <c r="P23" s="307"/>
    </row>
    <row r="24" spans="1:16">
      <c r="E24" s="307"/>
    </row>
    <row r="25" spans="1:16">
      <c r="B25" s="320" t="s">
        <v>504</v>
      </c>
      <c r="C25" s="320"/>
      <c r="D25" s="285"/>
      <c r="E25" s="285"/>
    </row>
    <row r="26" spans="1:16">
      <c r="B26" s="320"/>
      <c r="C26" s="320"/>
      <c r="E26" s="285"/>
    </row>
    <row r="27" spans="1:16">
      <c r="B27" s="286" t="s">
        <v>679</v>
      </c>
      <c r="C27" s="11">
        <v>1.2</v>
      </c>
      <c r="D27" s="287" t="s">
        <v>507</v>
      </c>
    </row>
    <row r="28" spans="1:16">
      <c r="B28" s="307"/>
      <c r="C28" s="307"/>
      <c r="D28" s="307"/>
    </row>
    <row r="29" spans="1:16">
      <c r="B29" s="572" t="s">
        <v>809</v>
      </c>
    </row>
    <row r="30" spans="1:16">
      <c r="B30" s="572" t="s">
        <v>810</v>
      </c>
    </row>
    <row r="31" spans="1:16">
      <c r="B31" s="572" t="s">
        <v>811</v>
      </c>
    </row>
    <row r="32" spans="1:16">
      <c r="B32" s="573" t="s">
        <v>812</v>
      </c>
    </row>
    <row r="33" spans="2:2">
      <c r="B33" s="573" t="s">
        <v>813</v>
      </c>
    </row>
  </sheetData>
  <sheetProtection sheet="1" objects="1" scenarios="1" selectLockedCells="1"/>
  <mergeCells count="3">
    <mergeCell ref="F20:I23"/>
    <mergeCell ref="B20:D23"/>
    <mergeCell ref="B25:C26"/>
  </mergeCells>
  <conditionalFormatting sqref="M14:M16">
    <cfRule type="expression" dxfId="67" priority="3">
      <formula>LEFT(M14,1)="⚠"</formula>
    </cfRule>
    <cfRule type="expression" dxfId="66" priority="4">
      <formula>LEFT(M14,1)="✓"</formula>
    </cfRule>
  </conditionalFormatting>
  <conditionalFormatting sqref="M15">
    <cfRule type="expression" dxfId="65" priority="1">
      <formula>$M$15="CHECK INPUTS"</formula>
    </cfRule>
    <cfRule type="expression" dxfId="64" priority="2">
      <formula>$M$15="OK"</formula>
    </cfRule>
  </conditionalFormatting>
  <conditionalFormatting sqref="S6:S7">
    <cfRule type="expression" dxfId="63" priority="5">
      <formula>AND(ISNUMBER(S6),S6&gt;=100)</formula>
    </cfRule>
    <cfRule type="expression" dxfId="62" priority="6">
      <formula>AND(ISNUMBER(S6),S6&gt;90)</formula>
    </cfRule>
  </conditionalFormatting>
  <conditionalFormatting sqref="S9:S12">
    <cfRule type="expression" dxfId="61" priority="7">
      <formula>AND(ISNUMBER(S9),S9&gt;=100)</formula>
    </cfRule>
    <cfRule type="expression" dxfId="60" priority="8">
      <formula>AND(ISNUMBER(S9),S9&gt;90)</formula>
    </cfRule>
  </conditionalFormatting>
  <dataValidations count="9">
    <dataValidation type="decimal" allowBlank="1" showInputMessage="1" showErrorMessage="1" errorTitle="Invalid DAF" error="DAF must be between 1.1 and 5" sqref="C27" xr:uid="{0DD8C36E-0065-4243-B869-E4D15B001A3E}">
      <formula1>1.1</formula1>
      <formula2>5</formula2>
    </dataValidation>
    <dataValidation type="decimal" allowBlank="1" showInputMessage="1" showErrorMessage="1" errorTitle="Invalid angle" error="Value outside acceptable range" sqref="C18:C19" xr:uid="{12822CB7-CBFB-4736-822D-4ABBDAE71C1C}">
      <formula1>30</formula1>
      <formula2>75</formula2>
    </dataValidation>
    <dataValidation type="decimal" operator="greaterThanOrEqual" allowBlank="1" showInputMessage="1" showErrorMessage="1" errorTitle="Invalid weight" error="Spreader weight must be a number ≥ 0." sqref="C16" xr:uid="{6AC5C637-0218-46C0-B3F8-70F992EBA98D}">
      <formula1>0</formula1>
    </dataValidation>
    <dataValidation type="decimal" operator="greaterThan" allowBlank="1" showInputMessage="1" showErrorMessage="1" errorTitle="Invalid SWL" error="SWL must be a number &gt; 0." sqref="C10:C15" xr:uid="{4EE6A6C3-5AD8-4D74-915B-0FC69DD5D9C7}">
      <formula1>0</formula1>
    </dataValidation>
    <dataValidation type="decimal" operator="greaterThan" showInputMessage="1" showErrorMessage="1" errorTitle="Invalid input" error="Distance D must be a number &gt; 0." sqref="C8" xr:uid="{DE7B6E1A-5C95-4372-91E2-B0D02499E13E}">
      <formula1>0</formula1>
    </dataValidation>
    <dataValidation type="decimal" operator="greaterThan" showInputMessage="1" showErrorMessage="1" errorTitle="Invalid input" error="Distance C must be a number &gt; 0." sqref="C7" xr:uid="{BE7BF1CB-C29E-4E87-A33F-A42FC343F74E}">
      <formula1>0</formula1>
    </dataValidation>
    <dataValidation type="decimal" operator="greaterThan" showInputMessage="1" showErrorMessage="1" errorTitle="Invalid input" error="Distance B must be a number &gt; 0." sqref="C6" xr:uid="{227087C1-FC26-4F44-9B5D-A40F18F2FDB1}">
      <formula1>0</formula1>
    </dataValidation>
    <dataValidation type="decimal" operator="greaterThan" showInputMessage="1" showErrorMessage="1" errorTitle="Invalid input" error="Distance A must be a number &gt; 0." sqref="C5" xr:uid="{52207807-E64A-476C-B142-F4C2D6F2904E}">
      <formula1>0</formula1>
    </dataValidation>
    <dataValidation type="decimal" operator="greaterThan" showInputMessage="1" showErrorMessage="1" errorTitle="Invalid input" error="Weight must be a number &gt; 0." sqref="C4" xr:uid="{9C0E185A-DAF8-4560-B049-3A50D607C8D5}">
      <formula1>0</formula1>
    </dataValidation>
  </dataValidations>
  <hyperlinks>
    <hyperlink ref="S2" location="Home!A1" display="Home" xr:uid="{DCD3A77F-45BF-47D1-895D-D2FC82A911D9}"/>
    <hyperlink ref="B32" r:id="rId1" xr:uid="{E338C235-A4D3-4593-9972-1AB048886056}"/>
    <hyperlink ref="B33" r:id="rId2" xr:uid="{0AA12FA2-59D0-46F9-9712-A12BCBA6A58D}"/>
  </hyperlinks>
  <pageMargins left="0.25" right="0.25" top="0.75" bottom="0.75" header="0.3" footer="0.3"/>
  <pageSetup paperSize="9" orientation="landscape" horizontalDpi="300" verticalDpi="3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02EBA-D9E5-4789-B824-EB37DD23C434}">
  <sheetPr codeName="Sheet3">
    <pageSetUpPr fitToPage="1"/>
  </sheetPr>
  <dimension ref="B1:AF45"/>
  <sheetViews>
    <sheetView showGridLines="0" showRowColHeaders="0" zoomScale="90" zoomScaleNormal="90" workbookViewId="0">
      <selection activeCell="D6" sqref="D6"/>
      <extLst>
        <ext xmlns:xlsdti="http://schemas.microsoft.com/office/spreadsheetml/2023/showDataTypeIcons" uri="{77bfe23e-c014-4d31-8a63-9c772dbf06b6}">
          <xlsdti:showDataTypeIcons visible="0"/>
        </ext>
      </extLst>
    </sheetView>
  </sheetViews>
  <sheetFormatPr defaultRowHeight="14.25"/>
  <cols>
    <col min="1" max="1" width="5.7109375" style="67" customWidth="1"/>
    <col min="2" max="2" width="3.7109375" style="67" customWidth="1"/>
    <col min="3" max="3" width="20.140625" style="67" customWidth="1"/>
    <col min="4" max="4" width="24" style="67" customWidth="1"/>
    <col min="5" max="5" width="8.7109375" style="67" customWidth="1"/>
    <col min="6" max="6" width="7.140625" style="67" customWidth="1"/>
    <col min="7" max="9" width="15.7109375" style="67" customWidth="1"/>
    <col min="10" max="11" width="9.140625" style="67" customWidth="1"/>
    <col min="12" max="12" width="8.28515625" style="67" customWidth="1"/>
    <col min="13" max="14" width="15.7109375" style="67" customWidth="1"/>
    <col min="15" max="15" width="2.85546875" style="67" customWidth="1"/>
    <col min="16" max="16" width="9.140625" style="67" customWidth="1"/>
    <col min="17" max="17" width="11.140625" style="67" customWidth="1"/>
    <col min="18" max="18" width="11.85546875" style="67" customWidth="1"/>
    <col min="19" max="19" width="3.7109375" style="67" customWidth="1"/>
    <col min="20" max="20" width="14.28515625" style="69" hidden="1" customWidth="1"/>
    <col min="21" max="21" width="25" style="69" hidden="1" customWidth="1"/>
    <col min="22" max="22" width="30" style="69" hidden="1" customWidth="1"/>
    <col min="23" max="23" width="11.85546875" style="69" hidden="1" customWidth="1"/>
    <col min="24" max="24" width="11.42578125" style="69" hidden="1" customWidth="1"/>
    <col min="25" max="25" width="12.42578125" style="69" hidden="1" customWidth="1"/>
    <col min="26" max="26" width="21.140625" style="69" hidden="1" customWidth="1"/>
    <col min="27" max="27" width="22" style="69" hidden="1" customWidth="1"/>
    <col min="28" max="28" width="25" style="69" hidden="1" customWidth="1"/>
    <col min="29" max="29" width="12.42578125" style="69" hidden="1" customWidth="1"/>
    <col min="30" max="30" width="15" style="69" hidden="1" customWidth="1"/>
    <col min="31" max="31" width="11.7109375" style="67" hidden="1" customWidth="1"/>
    <col min="32" max="32" width="11.140625" style="67" hidden="1" customWidth="1"/>
    <col min="33" max="33" width="9.140625" style="67" customWidth="1"/>
    <col min="34" max="16384" width="9.140625" style="67"/>
  </cols>
  <sheetData>
    <row r="1" spans="2:32" ht="18" customHeight="1"/>
    <row r="2" spans="2:32" ht="18" customHeight="1">
      <c r="B2" s="66" t="s">
        <v>349</v>
      </c>
      <c r="G2" s="592" t="s">
        <v>298</v>
      </c>
      <c r="N2" s="68"/>
    </row>
    <row r="3" spans="2:32" ht="18" customHeight="1"/>
    <row r="4" spans="2:32" ht="12" customHeight="1">
      <c r="B4" s="70"/>
      <c r="C4" s="71"/>
      <c r="D4" s="71"/>
      <c r="E4" s="71"/>
      <c r="F4" s="71"/>
      <c r="G4" s="71"/>
      <c r="H4" s="71"/>
      <c r="I4" s="71"/>
      <c r="J4" s="71"/>
      <c r="K4" s="71"/>
      <c r="L4" s="71"/>
      <c r="M4" s="71"/>
      <c r="N4" s="71"/>
      <c r="O4" s="72"/>
    </row>
    <row r="5" spans="2:32" s="75" customFormat="1" ht="18" customHeight="1">
      <c r="B5" s="73"/>
      <c r="C5" s="74" t="s">
        <v>350</v>
      </c>
      <c r="G5" s="67"/>
      <c r="H5" s="67"/>
      <c r="I5" s="67"/>
      <c r="J5" s="67"/>
      <c r="K5" s="67"/>
      <c r="L5" s="67"/>
      <c r="M5" s="67"/>
      <c r="N5" s="67"/>
      <c r="O5" s="76"/>
      <c r="T5" s="69"/>
      <c r="U5" s="69" t="s">
        <v>351</v>
      </c>
      <c r="V5" s="69" t="s">
        <v>352</v>
      </c>
      <c r="W5" s="69"/>
      <c r="X5" s="69"/>
      <c r="Y5" s="69"/>
      <c r="Z5" s="69"/>
      <c r="AA5" s="69"/>
      <c r="AB5" s="69"/>
      <c r="AC5" s="69"/>
      <c r="AD5" s="69"/>
    </row>
    <row r="6" spans="2:32" s="75" customFormat="1" ht="18" customHeight="1">
      <c r="B6" s="73"/>
      <c r="C6" s="77" t="s">
        <v>353</v>
      </c>
      <c r="D6" s="2">
        <v>100</v>
      </c>
      <c r="E6" s="78" t="s">
        <v>354</v>
      </c>
      <c r="G6" s="79" t="s">
        <v>355</v>
      </c>
      <c r="H6" s="80"/>
      <c r="I6" s="81"/>
      <c r="J6" s="82" t="s">
        <v>352</v>
      </c>
      <c r="K6" s="83"/>
      <c r="L6" s="83"/>
      <c r="M6" s="84"/>
      <c r="N6" s="85" t="s">
        <v>356</v>
      </c>
      <c r="O6" s="76"/>
      <c r="T6" s="69" t="s">
        <v>351</v>
      </c>
      <c r="U6" s="69" t="s">
        <v>357</v>
      </c>
      <c r="V6" s="69" t="s">
        <v>358</v>
      </c>
      <c r="W6" s="69" t="s">
        <v>359</v>
      </c>
      <c r="X6" s="69" t="s">
        <v>301</v>
      </c>
      <c r="Y6" s="69" t="s">
        <v>360</v>
      </c>
      <c r="Z6" s="69" t="s">
        <v>361</v>
      </c>
      <c r="AA6" s="69" t="s">
        <v>362</v>
      </c>
      <c r="AB6" s="69" t="s">
        <v>363</v>
      </c>
      <c r="AC6" s="69" t="s">
        <v>356</v>
      </c>
      <c r="AD6" s="69"/>
    </row>
    <row r="7" spans="2:32" s="75" customFormat="1" ht="18" customHeight="1">
      <c r="B7" s="73"/>
      <c r="C7" s="77" t="s">
        <v>53</v>
      </c>
      <c r="D7" s="2">
        <v>32</v>
      </c>
      <c r="E7" s="78" t="s">
        <v>1</v>
      </c>
      <c r="G7" s="86"/>
      <c r="H7" s="71"/>
      <c r="I7" s="72"/>
      <c r="J7" s="86"/>
      <c r="K7" s="71"/>
      <c r="L7" s="71"/>
      <c r="M7" s="72"/>
      <c r="N7" s="87"/>
      <c r="O7" s="76"/>
      <c r="T7" s="69" t="s">
        <v>352</v>
      </c>
      <c r="U7" s="69" t="s">
        <v>364</v>
      </c>
      <c r="V7" s="69" t="s">
        <v>365</v>
      </c>
      <c r="W7" s="69">
        <v>80</v>
      </c>
      <c r="X7" s="69" cm="1">
        <f t="array" ref="X7">IFERROR(SMALL(IF('G80'!$B$17:$B$46="G"&amp;$D$6,'G80'!$C$17:$C$46),ROW()-6),"")</f>
        <v>6</v>
      </c>
      <c r="Y7" s="88" cm="1">
        <f t="array" aca="1" ref="Y7" ca="1">IF(IFERROR(INDEX(INDIRECT("'Wire slings "&amp;$D$24&amp;"'!$C$14:$C$37"),ROW()-6),0)=0,"",IFERROR(INDEX(INDIRECT("'Wire slings "&amp;$D$24&amp;"'!$C$14:$C$37"),ROW()-6),0))</f>
        <v>8</v>
      </c>
      <c r="Z7" s="69" t="s">
        <v>362</v>
      </c>
      <c r="AA7" s="69" t="s">
        <v>366</v>
      </c>
      <c r="AB7" s="69" t="s">
        <v>367</v>
      </c>
      <c r="AC7" s="69" t="s">
        <v>368</v>
      </c>
      <c r="AD7" s="69"/>
    </row>
    <row r="8" spans="2:32" s="75" customFormat="1" ht="18" customHeight="1">
      <c r="B8" s="73"/>
      <c r="C8" s="77" t="s">
        <v>369</v>
      </c>
      <c r="D8" s="2" t="s">
        <v>363</v>
      </c>
      <c r="E8" s="78"/>
      <c r="G8" s="73"/>
      <c r="I8" s="76"/>
      <c r="J8" s="73"/>
      <c r="M8" s="76"/>
      <c r="N8" s="89"/>
      <c r="O8" s="76"/>
      <c r="T8" s="69"/>
      <c r="U8" s="69" t="s">
        <v>370</v>
      </c>
      <c r="V8" s="69" t="s">
        <v>371</v>
      </c>
      <c r="W8" s="69">
        <v>100</v>
      </c>
      <c r="X8" s="69" cm="1">
        <f t="array" ref="X8">IFERROR(SMALL(IF('G80'!$B$17:$B$46="G"&amp;$D$6,'G80'!$C$17:$C$46),ROW()-6),"")</f>
        <v>7</v>
      </c>
      <c r="Y8" s="88" cm="1">
        <f t="array" aca="1" ref="Y8" ca="1">IF(IFERROR(INDEX(INDIRECT("'Wire slings "&amp;$D$24&amp;"'!$C$14:$C$37"),ROW()-6),0)=0,"",IFERROR(INDEX(INDIRECT("'Wire slings "&amp;$D$24&amp;"'!$C$14:$C$37"),ROW()-6),0))</f>
        <v>9</v>
      </c>
      <c r="Z8" s="69" t="s">
        <v>363</v>
      </c>
      <c r="AA8" s="69" t="s">
        <v>372</v>
      </c>
      <c r="AB8" s="69" t="s">
        <v>373</v>
      </c>
      <c r="AC8" s="69"/>
      <c r="AD8" s="69" t="s">
        <v>366</v>
      </c>
      <c r="AE8" s="75" t="s">
        <v>367</v>
      </c>
      <c r="AF8" s="75" t="s">
        <v>368</v>
      </c>
    </row>
    <row r="9" spans="2:32" s="75" customFormat="1" ht="18" customHeight="1">
      <c r="B9" s="73"/>
      <c r="C9" s="77" t="s">
        <v>374</v>
      </c>
      <c r="D9" s="2" t="s">
        <v>367</v>
      </c>
      <c r="E9" s="78" t="s">
        <v>375</v>
      </c>
      <c r="G9" s="73"/>
      <c r="I9" s="76"/>
      <c r="J9" s="73"/>
      <c r="M9" s="76"/>
      <c r="N9" s="89"/>
      <c r="O9" s="76"/>
      <c r="T9" s="69"/>
      <c r="U9" s="69" t="s">
        <v>376</v>
      </c>
      <c r="V9" s="69" t="s">
        <v>377</v>
      </c>
      <c r="W9" s="69">
        <v>120</v>
      </c>
      <c r="X9" s="69" cm="1">
        <f t="array" ref="X9">IFERROR(SMALL(IF('G80'!$B$17:$B$46="G"&amp;$D$6,'G80'!$C$17:$C$46),ROW()-6),"")</f>
        <v>8</v>
      </c>
      <c r="Y9" s="88" cm="1">
        <f t="array" aca="1" ref="Y9" ca="1">IF(IFERROR(INDEX(INDIRECT("'Wire slings "&amp;$D$24&amp;"'!$C$14:$C$37"),ROW()-6),0)=0,"",IFERROR(INDEX(INDIRECT("'Wire slings "&amp;$D$24&amp;"'!$C$14:$C$37"),ROW()-6),0))</f>
        <v>10</v>
      </c>
      <c r="Z9" s="69" t="s">
        <v>356</v>
      </c>
      <c r="AA9" s="69" t="s">
        <v>378</v>
      </c>
      <c r="AB9" s="69" t="s">
        <v>379</v>
      </c>
      <c r="AC9" s="69"/>
      <c r="AD9" s="69" t="s">
        <v>372</v>
      </c>
      <c r="AE9" s="75" t="s">
        <v>373</v>
      </c>
    </row>
    <row r="10" spans="2:32" s="75" customFormat="1" ht="18" customHeight="1">
      <c r="B10" s="73"/>
      <c r="C10" s="85" t="s">
        <v>380</v>
      </c>
      <c r="D10" s="85" cm="1">
        <f t="array" ref="D10">IF(IF(D8="Single",IF(D9="Straight",1,IF(D9="Reeved",2,IF(D9="Basket - max 60°",3,0))),IF(D8="2 or more",IF(D9="Straight 60°",4,IF(D9="Straight 90°",5,IF(D9="Straight 120°",6,IF(D9="Reeved",7,0)))),IF(D8="2 legs",IF(D9="2 leg basket",8,0),0)))=0,"CHECK INPUTS",IFERROR(INDEX('G80'!$D$17:$K$46,MATCH(1,('G80'!$B$17:$B$46="G"&amp;D6)*('G80'!$C$17:$C$46=D7*1),0),IF(D8="Single",IF(D9="Straight",1,IF(D9="Reeved",2,IF(D9="Basket - max 60°",3,0))),IF(D8="2 or more",IF(D9="Straight 60°",4,IF(D9="Straight 90°",5,IF(D9="Straight 120°",6,IF(D9="Reeved",7,0)))),IF(D8="2 legs",IF(D9="2 leg basket",8,0),0)))),"CHECK INPUTS"))</f>
        <v>69.2</v>
      </c>
      <c r="E10" s="90" t="s">
        <v>381</v>
      </c>
      <c r="G10" s="73"/>
      <c r="I10" s="76"/>
      <c r="J10" s="73"/>
      <c r="M10" s="76"/>
      <c r="N10" s="89"/>
      <c r="O10" s="76"/>
      <c r="T10" s="69"/>
      <c r="U10" s="69" t="s">
        <v>382</v>
      </c>
      <c r="V10" s="69" t="s">
        <v>383</v>
      </c>
      <c r="W10" s="69"/>
      <c r="X10" s="69" cm="1">
        <f t="array" ref="X10">IFERROR(SMALL(IF('G80'!$B$17:$B$46="G"&amp;$D$6,'G80'!$C$17:$C$46),ROW()-6),"")</f>
        <v>10</v>
      </c>
      <c r="Y10" s="88" cm="1">
        <f t="array" aca="1" ref="Y10" ca="1">IF(IFERROR(INDEX(INDIRECT("'Wire slings "&amp;$D$24&amp;"'!$C$14:$C$37"),ROW()-6),0)=0,"",IFERROR(INDEX(INDIRECT("'Wire slings "&amp;$D$24&amp;"'!$C$14:$C$37"),ROW()-6),0))</f>
        <v>11</v>
      </c>
      <c r="Z10" s="69"/>
      <c r="AA10" s="69"/>
      <c r="AB10" s="69" t="s">
        <v>372</v>
      </c>
      <c r="AC10" s="69"/>
      <c r="AD10" s="69" t="s">
        <v>378</v>
      </c>
      <c r="AE10" s="75" t="s">
        <v>379</v>
      </c>
    </row>
    <row r="11" spans="2:32" s="75" customFormat="1" ht="18" customHeight="1">
      <c r="B11" s="73"/>
      <c r="C11" s="69"/>
      <c r="D11" s="69"/>
      <c r="G11" s="73"/>
      <c r="I11" s="76"/>
      <c r="J11" s="73"/>
      <c r="M11" s="76"/>
      <c r="N11" s="89"/>
      <c r="O11" s="76"/>
      <c r="T11" s="69"/>
      <c r="U11" s="69" t="s">
        <v>384</v>
      </c>
      <c r="W11" s="69"/>
      <c r="X11" s="69" cm="1">
        <f t="array" ref="X11">IFERROR(SMALL(IF('G80'!$B$17:$B$46="G"&amp;$D$6,'G80'!$C$17:$C$46),ROW()-6),"")</f>
        <v>13</v>
      </c>
      <c r="Y11" s="88" cm="1">
        <f t="array" aca="1" ref="Y11" ca="1">IF(IFERROR(INDEX(INDIRECT("'Wire slings "&amp;$D$24&amp;"'!$C$14:$C$37"),ROW()-6),0)=0,"",IFERROR(INDEX(INDIRECT("'Wire slings "&amp;$D$24&amp;"'!$C$14:$C$37"),ROW()-6),0))</f>
        <v>12</v>
      </c>
      <c r="Z11" s="69"/>
      <c r="AA11" s="69"/>
      <c r="AC11" s="69"/>
      <c r="AD11" s="69"/>
      <c r="AE11" s="75" t="s">
        <v>372</v>
      </c>
    </row>
    <row r="12" spans="2:32" s="75" customFormat="1" ht="18" customHeight="1">
      <c r="B12" s="73"/>
      <c r="G12" s="73"/>
      <c r="I12" s="76"/>
      <c r="J12" s="73"/>
      <c r="M12" s="76"/>
      <c r="N12" s="89"/>
      <c r="O12" s="76"/>
      <c r="T12" s="69"/>
      <c r="U12" s="69" t="s">
        <v>385</v>
      </c>
      <c r="V12" s="69"/>
      <c r="W12" s="69"/>
      <c r="X12" s="69" cm="1">
        <f t="array" ref="X12">IFERROR(SMALL(IF('G80'!$B$17:$B$46="G"&amp;$D$6,'G80'!$C$17:$C$46),ROW()-6),"")</f>
        <v>16</v>
      </c>
      <c r="Y12" s="88" cm="1">
        <f t="array" aca="1" ref="Y12" ca="1">IF(IFERROR(INDEX(INDIRECT("'Wire slings "&amp;$D$24&amp;"'!$C$14:$C$37"),ROW()-6),0)=0,"",IFERROR(INDEX(INDIRECT("'Wire slings "&amp;$D$24&amp;"'!$C$14:$C$37"),ROW()-6),0))</f>
        <v>13</v>
      </c>
      <c r="Z12" s="69"/>
      <c r="AA12" s="69"/>
      <c r="AC12" s="69"/>
      <c r="AD12" s="69"/>
    </row>
    <row r="13" spans="2:32" s="75" customFormat="1" ht="18" customHeight="1">
      <c r="B13" s="73"/>
      <c r="C13" s="74" t="s">
        <v>386</v>
      </c>
      <c r="G13" s="91"/>
      <c r="H13" s="92"/>
      <c r="I13" s="93"/>
      <c r="J13" s="91"/>
      <c r="K13" s="92"/>
      <c r="L13" s="92"/>
      <c r="M13" s="93"/>
      <c r="N13" s="94"/>
      <c r="O13" s="76"/>
      <c r="T13" s="69"/>
      <c r="U13" s="69"/>
      <c r="V13" s="69"/>
      <c r="W13" s="69"/>
      <c r="X13" s="69" cm="1">
        <f t="array" ref="X13">IFERROR(SMALL(IF('G80'!$B$17:$B$46="G"&amp;$D$6,'G80'!$C$17:$C$46),ROW()-6),"")</f>
        <v>18</v>
      </c>
      <c r="Y13" s="88" cm="1">
        <f t="array" aca="1" ref="Y13" ca="1">IF(IFERROR(INDEX(INDIRECT("'Wire slings "&amp;$D$24&amp;"'!$C$14:$C$37"),ROW()-6),0)=0,"",IFERROR(INDEX(INDIRECT("'Wire slings "&amp;$D$24&amp;"'!$C$14:$C$37"),ROW()-6),0))</f>
        <v>14</v>
      </c>
      <c r="Z13" s="69"/>
      <c r="AA13" s="69"/>
      <c r="AC13" s="69"/>
      <c r="AD13" s="69"/>
    </row>
    <row r="14" spans="2:32" s="75" customFormat="1" ht="18" customHeight="1">
      <c r="B14" s="73"/>
      <c r="C14" s="77" t="s">
        <v>387</v>
      </c>
      <c r="D14" s="3">
        <v>25</v>
      </c>
      <c r="E14" s="78" t="s">
        <v>381</v>
      </c>
      <c r="G14" s="95" t="s">
        <v>388</v>
      </c>
      <c r="H14" s="95" t="s">
        <v>389</v>
      </c>
      <c r="I14" s="95" t="s">
        <v>390</v>
      </c>
      <c r="J14" s="96" t="s">
        <v>391</v>
      </c>
      <c r="K14" s="96"/>
      <c r="L14" s="96"/>
      <c r="M14" s="95" t="s">
        <v>389</v>
      </c>
      <c r="N14" s="95" t="s">
        <v>392</v>
      </c>
      <c r="O14" s="76"/>
      <c r="T14" s="69"/>
      <c r="U14" s="69"/>
      <c r="V14" s="69"/>
      <c r="W14" s="69"/>
      <c r="X14" s="69" cm="1">
        <f t="array" ref="X14">IFERROR(SMALL(IF('G80'!$B$17:$B$46="G"&amp;$D$6,'G80'!$C$17:$C$46),ROW()-6),"")</f>
        <v>19</v>
      </c>
      <c r="Y14" s="88" cm="1">
        <f t="array" aca="1" ref="Y14" ca="1">IF(IFERROR(INDEX(INDIRECT("'Wire slings "&amp;$D$24&amp;"'!$C$14:$C$37"),ROW()-6),0)=0,"",IFERROR(INDEX(INDIRECT("'Wire slings "&amp;$D$24&amp;"'!$C$14:$C$37"),ROW()-6),0))</f>
        <v>16</v>
      </c>
      <c r="Z14" s="69"/>
      <c r="AA14" s="69"/>
      <c r="AB14" s="69"/>
      <c r="AC14" s="69"/>
      <c r="AD14" s="69"/>
    </row>
    <row r="15" spans="2:32" s="75" customFormat="1" ht="18" customHeight="1">
      <c r="B15" s="73"/>
      <c r="C15" s="77" t="s">
        <v>369</v>
      </c>
      <c r="D15" s="2" t="s">
        <v>363</v>
      </c>
      <c r="E15" s="78"/>
      <c r="G15" s="95"/>
      <c r="H15" s="95"/>
      <c r="I15" s="95"/>
      <c r="J15" s="96"/>
      <c r="K15" s="96"/>
      <c r="L15" s="96"/>
      <c r="M15" s="95"/>
      <c r="N15" s="95"/>
      <c r="O15" s="76"/>
      <c r="T15" s="69"/>
      <c r="U15" s="69"/>
      <c r="V15" s="69"/>
      <c r="W15" s="69"/>
      <c r="X15" s="69" cm="1">
        <f t="array" ref="X15">IFERROR(SMALL(IF('G80'!$B$17:$B$46="G"&amp;$D$6,'G80'!$C$17:$C$46),ROW()-6),"")</f>
        <v>20</v>
      </c>
      <c r="Y15" s="88" cm="1">
        <f t="array" aca="1" ref="Y15" ca="1">IF(IFERROR(INDEX(INDIRECT("'Wire slings "&amp;$D$24&amp;"'!$C$14:$C$37"),ROW()-6),0)=0,"",IFERROR(INDEX(INDIRECT("'Wire slings "&amp;$D$24&amp;"'!$C$14:$C$37"),ROW()-6),0))</f>
        <v>18</v>
      </c>
      <c r="Z15" s="69"/>
      <c r="AA15" s="69"/>
      <c r="AB15" s="69"/>
      <c r="AC15" s="69"/>
      <c r="AD15" s="69"/>
    </row>
    <row r="16" spans="2:32" s="75" customFormat="1" ht="18" customHeight="1">
      <c r="B16" s="73"/>
      <c r="C16" s="77" t="s">
        <v>393</v>
      </c>
      <c r="D16" s="2" t="s">
        <v>367</v>
      </c>
      <c r="E16" s="78"/>
      <c r="G16" s="95"/>
      <c r="H16" s="95"/>
      <c r="I16" s="95"/>
      <c r="J16" s="97" t="s">
        <v>394</v>
      </c>
      <c r="K16" s="97" t="s">
        <v>395</v>
      </c>
      <c r="L16" s="97" t="s">
        <v>396</v>
      </c>
      <c r="M16" s="97" t="s">
        <v>397</v>
      </c>
      <c r="N16" s="97" t="s">
        <v>397</v>
      </c>
      <c r="O16" s="76"/>
      <c r="T16" s="69"/>
      <c r="U16" s="69"/>
      <c r="V16" s="69"/>
      <c r="W16" s="69"/>
      <c r="X16" s="69" cm="1">
        <f t="array" ref="X16">IFERROR(SMALL(IF('G80'!$B$17:$B$46="G"&amp;$D$6,'G80'!$C$17:$C$46),ROW()-6),"")</f>
        <v>22</v>
      </c>
      <c r="Y16" s="88" cm="1">
        <f t="array" aca="1" ref="Y16" ca="1">IF(IFERROR(INDEX(INDIRECT("'Wire slings "&amp;$D$24&amp;"'!$C$14:$C$37"),ROW()-6),0)=0,"",IFERROR(INDEX(INDIRECT("'Wire slings "&amp;$D$24&amp;"'!$C$14:$C$37"),ROW()-6),0))</f>
        <v>20</v>
      </c>
      <c r="Z16" s="69"/>
      <c r="AA16" s="69"/>
      <c r="AB16" s="69"/>
      <c r="AC16" s="69"/>
      <c r="AD16" s="69"/>
    </row>
    <row r="17" spans="2:30" s="75" customFormat="1" ht="18" customHeight="1">
      <c r="B17" s="73"/>
      <c r="C17" s="77" t="s">
        <v>398</v>
      </c>
      <c r="D17" s="2">
        <v>100</v>
      </c>
      <c r="E17" s="78"/>
      <c r="O17" s="76"/>
      <c r="T17" s="69"/>
      <c r="U17" s="69"/>
      <c r="V17" s="69"/>
      <c r="W17" s="69"/>
      <c r="X17" s="69" cm="1">
        <f t="array" ref="X17">IFERROR(SMALL(IF('G80'!$B$17:$B$46="G"&amp;$D$6,'G80'!$C$17:$C$46),ROW()-6),"")</f>
        <v>23</v>
      </c>
      <c r="Y17" s="88" cm="1">
        <f t="array" aca="1" ref="Y17" ca="1">IF(IFERROR(INDEX(INDIRECT("'Wire slings "&amp;$D$24&amp;"'!$C$14:$C$37"),ROW()-6),0)=0,"",IFERROR(INDEX(INDIRECT("'Wire slings "&amp;$D$24&amp;"'!$C$14:$C$37"),ROW()-6),0))</f>
        <v>22</v>
      </c>
      <c r="Z17" s="69"/>
      <c r="AA17" s="69"/>
      <c r="AB17" s="69"/>
      <c r="AC17" s="69"/>
      <c r="AD17" s="69"/>
    </row>
    <row r="18" spans="2:30" s="75" customFormat="1" ht="18" customHeight="1">
      <c r="B18" s="73"/>
      <c r="C18" s="85" t="s">
        <v>399</v>
      </c>
      <c r="D18" s="85" cm="1">
        <f t="array" ref="D18">IF(OR(NOT(ISNUMBER(D14)),D14&lt;=0),"CHECK INPUTS",IF(IF(D15="Single",IF(D16="Straight",1,IF(D16="Reeved",2,IF(D16="Basket - max 60°",3,0))),IF(D15="2 or more",IF(D16="Straight 60°",4,IF(D16="Straight 90°",5,IF(D16="Straight 120°",6,IF(D16="Reeved",7,0)))),IF(D15="2 legs",IF(D16="2 leg basket",8,0),0)))=0,"CHECK INPUTS",IFERROR(INDEX('G80'!$C$17:$C$46,MATCH(1,('G80'!$B$17:$B$46="G"&amp;D17)*(INDEX('G80'!$D$17:$K$46,,IF(D15="Single",IF(D16="Straight",1,IF(D16="Reeved",2,IF(D16="Basket - max 60°",3,0))),IF(D15="2 or more",IF(D16="Straight 60°",4,IF(D16="Straight 90°",5,IF(D16="Straight 120°",6,IF(D16="Reeved",7,0)))),IF(D15="2 legs",IF(D16="2 leg basket",8,0),0))))&gt;=D14),0)),"CHECK INPUTS")))</f>
        <v>20</v>
      </c>
      <c r="E18" s="90" t="s">
        <v>1</v>
      </c>
      <c r="O18" s="76"/>
      <c r="T18" s="69"/>
      <c r="U18" s="69"/>
      <c r="V18" s="69"/>
      <c r="W18" s="69"/>
      <c r="X18" s="69" cm="1">
        <f t="array" ref="X18">IFERROR(SMALL(IF('G80'!$B$17:$B$46="G"&amp;$D$6,'G80'!$C$17:$C$46),ROW()-6),"")</f>
        <v>26</v>
      </c>
      <c r="Y18" s="88" cm="1">
        <f t="array" aca="1" ref="Y18" ca="1">IF(IFERROR(INDEX(INDIRECT("'Wire slings "&amp;$D$24&amp;"'!$C$14:$C$37"),ROW()-6),0)=0,"",IFERROR(INDEX(INDIRECT("'Wire slings "&amp;$D$24&amp;"'!$C$14:$C$37"),ROW()-6),0))</f>
        <v>24</v>
      </c>
      <c r="Z18" s="69"/>
      <c r="AA18" s="69"/>
      <c r="AB18" s="69"/>
      <c r="AC18" s="69"/>
      <c r="AD18" s="69"/>
    </row>
    <row r="19" spans="2:30" s="75" customFormat="1" ht="18" customHeight="1">
      <c r="B19" s="98"/>
      <c r="C19" s="99"/>
      <c r="D19" s="99"/>
      <c r="E19" s="92"/>
      <c r="F19" s="92"/>
      <c r="G19" s="92"/>
      <c r="H19" s="92"/>
      <c r="I19" s="92"/>
      <c r="J19" s="92"/>
      <c r="K19" s="92"/>
      <c r="L19" s="92"/>
      <c r="M19" s="92"/>
      <c r="N19" s="92"/>
      <c r="O19" s="93"/>
      <c r="T19" s="69"/>
      <c r="U19" s="69"/>
      <c r="V19" s="69"/>
      <c r="W19" s="69"/>
      <c r="X19" s="69" cm="1">
        <f t="array" ref="X19">IFERROR(SMALL(IF('G80'!$B$17:$B$46="G"&amp;$D$6,'G80'!$C$17:$C$46),ROW()-6),"")</f>
        <v>28</v>
      </c>
      <c r="Y19" s="88" cm="1">
        <f t="array" aca="1" ref="Y19" ca="1">IF(IFERROR(INDEX(INDIRECT("'Wire slings "&amp;$D$24&amp;"'!$C$14:$C$37"),ROW()-6),0)=0,"",IFERROR(INDEX(INDIRECT("'Wire slings "&amp;$D$24&amp;"'!$C$14:$C$37"),ROW()-6),0))</f>
        <v>26</v>
      </c>
      <c r="Z19" s="69"/>
      <c r="AA19" s="69"/>
      <c r="AB19" s="69"/>
      <c r="AC19" s="69"/>
      <c r="AD19" s="69"/>
    </row>
    <row r="20" spans="2:30" s="75" customFormat="1" ht="18" customHeight="1">
      <c r="B20" s="67"/>
      <c r="C20" s="69"/>
      <c r="D20" s="69"/>
      <c r="T20" s="69"/>
      <c r="U20" s="69"/>
      <c r="V20" s="69"/>
      <c r="W20" s="69"/>
      <c r="X20" s="69" cm="1">
        <f t="array" ref="X20">IFERROR(SMALL(IF('G80'!$B$17:$B$46="G"&amp;$D$6,'G80'!$C$17:$C$46),ROW()-6),"")</f>
        <v>32</v>
      </c>
      <c r="Y20" s="88" cm="1">
        <f t="array" aca="1" ref="Y20" ca="1">IF(IFERROR(INDEX(INDIRECT("'Wire slings "&amp;$D$24&amp;"'!$C$14:$C$37"),ROW()-6),0)=0,"",IFERROR(INDEX(INDIRECT("'Wire slings "&amp;$D$24&amp;"'!$C$14:$C$37"),ROW()-6),0))</f>
        <v>28</v>
      </c>
      <c r="Z20" s="69"/>
      <c r="AA20" s="69"/>
      <c r="AB20" s="69"/>
      <c r="AC20" s="69"/>
      <c r="AD20" s="69"/>
    </row>
    <row r="21" spans="2:30" s="75" customFormat="1" ht="18" customHeight="1">
      <c r="B21" s="86"/>
      <c r="C21" s="100"/>
      <c r="D21" s="100"/>
      <c r="E21" s="101"/>
      <c r="F21" s="101"/>
      <c r="G21" s="101"/>
      <c r="H21" s="101"/>
      <c r="I21" s="101"/>
      <c r="J21" s="101"/>
      <c r="K21" s="101"/>
      <c r="L21" s="101"/>
      <c r="M21" s="101"/>
      <c r="N21" s="101"/>
      <c r="O21" s="101"/>
      <c r="P21" s="101"/>
      <c r="Q21" s="101"/>
      <c r="R21" s="101"/>
      <c r="S21" s="102"/>
      <c r="T21" s="69"/>
      <c r="U21" s="69"/>
      <c r="V21" s="69"/>
      <c r="W21" s="69"/>
      <c r="X21" s="69"/>
      <c r="Y21" s="88" cm="1">
        <f t="array" aca="1" ref="Y21" ca="1">IF(IFERROR(INDEX(INDIRECT("'Wire slings "&amp;$D$24&amp;"'!$C$14:$C$37"),ROW()-6),0)=0,"",IFERROR(INDEX(INDIRECT("'Wire slings "&amp;$D$24&amp;"'!$C$14:$C$37"),ROW()-6),0))</f>
        <v>32</v>
      </c>
      <c r="Z21" s="69"/>
      <c r="AA21" s="69"/>
      <c r="AB21" s="69"/>
      <c r="AC21" s="69"/>
      <c r="AD21" s="69"/>
    </row>
    <row r="22" spans="2:30" s="75" customFormat="1" ht="18" customHeight="1">
      <c r="B22" s="103"/>
      <c r="G22" s="104" t="s">
        <v>351</v>
      </c>
      <c r="H22" s="104"/>
      <c r="I22" s="104"/>
      <c r="J22" s="104"/>
      <c r="K22" s="104"/>
      <c r="L22" s="104"/>
      <c r="M22" s="104"/>
      <c r="N22" s="104" t="s">
        <v>400</v>
      </c>
      <c r="O22" s="104"/>
      <c r="P22" s="104"/>
      <c r="Q22" s="104"/>
      <c r="R22" s="104"/>
      <c r="S22" s="76"/>
      <c r="T22" s="69"/>
      <c r="U22" s="69"/>
      <c r="V22" s="69"/>
      <c r="W22" s="69"/>
      <c r="X22" s="69"/>
      <c r="Y22" s="88" cm="1">
        <f t="array" aca="1" ref="Y22" ca="1">IF(IFERROR(INDEX(INDIRECT("'Wire slings "&amp;$D$24&amp;"'!$C$14:$C$37"),ROW()-6),0)=0,"",IFERROR(INDEX(INDIRECT("'Wire slings "&amp;$D$24&amp;"'!$C$14:$C$37"),ROW()-6),0))</f>
        <v>36</v>
      </c>
      <c r="Z22" s="69"/>
      <c r="AA22" s="69"/>
      <c r="AC22" s="69"/>
      <c r="AD22" s="69"/>
    </row>
    <row r="23" spans="2:30" s="75" customFormat="1" ht="18" customHeight="1">
      <c r="B23" s="103"/>
      <c r="C23" s="74" t="s">
        <v>401</v>
      </c>
      <c r="G23" s="96"/>
      <c r="H23" s="96"/>
      <c r="I23" s="96"/>
      <c r="J23" s="96"/>
      <c r="K23" s="96"/>
      <c r="L23" s="96"/>
      <c r="M23" s="96"/>
      <c r="N23" s="96"/>
      <c r="O23" s="96"/>
      <c r="P23" s="96"/>
      <c r="Q23" s="96"/>
      <c r="R23" s="96"/>
      <c r="S23" s="76"/>
      <c r="T23" s="69"/>
      <c r="U23" s="69"/>
      <c r="V23" s="69"/>
      <c r="W23" s="69"/>
      <c r="X23" s="69"/>
      <c r="Y23" s="88" cm="1">
        <f t="array" aca="1" ref="Y23" ca="1">IF(IFERROR(INDEX(INDIRECT("'Wire slings "&amp;$D$24&amp;"'!$C$14:$C$37"),ROW()-6),0)=0,"",IFERROR(INDEX(INDIRECT("'Wire slings "&amp;$D$24&amp;"'!$C$14:$C$37"),ROW()-6),0))</f>
        <v>40</v>
      </c>
      <c r="Z23" s="69"/>
      <c r="AA23" s="69"/>
      <c r="AB23" s="69"/>
      <c r="AC23" s="69"/>
      <c r="AD23" s="69"/>
    </row>
    <row r="24" spans="2:30" s="75" customFormat="1" ht="18" customHeight="1">
      <c r="B24" s="103"/>
      <c r="C24" s="105" t="s">
        <v>353</v>
      </c>
      <c r="D24" s="37">
        <v>1960</v>
      </c>
      <c r="E24" s="106" t="s">
        <v>402</v>
      </c>
      <c r="G24" s="96"/>
      <c r="H24" s="96"/>
      <c r="I24" s="96"/>
      <c r="J24" s="96"/>
      <c r="K24" s="96"/>
      <c r="L24" s="96"/>
      <c r="M24" s="96"/>
      <c r="N24" s="96"/>
      <c r="O24" s="96"/>
      <c r="P24" s="96"/>
      <c r="Q24" s="96"/>
      <c r="R24" s="96"/>
      <c r="S24" s="76"/>
      <c r="T24" s="69"/>
      <c r="U24" s="69"/>
      <c r="V24" s="69"/>
      <c r="W24" s="69"/>
      <c r="X24" s="69"/>
      <c r="Y24" s="88" cm="1">
        <f t="array" aca="1" ref="Y24" ca="1">IF(IFERROR(INDEX(INDIRECT("'Wire slings "&amp;$D$24&amp;"'!$C$14:$C$37"),ROW()-6),0)=0,"",IFERROR(INDEX(INDIRECT("'Wire slings "&amp;$D$24&amp;"'!$C$14:$C$37"),ROW()-6),0))</f>
        <v>44</v>
      </c>
      <c r="Z24" s="69"/>
      <c r="AA24" s="69"/>
      <c r="AB24" s="69"/>
      <c r="AC24" s="69"/>
      <c r="AD24" s="69"/>
    </row>
    <row r="25" spans="2:30" s="75" customFormat="1" ht="18" customHeight="1">
      <c r="B25" s="103"/>
      <c r="C25" s="107" t="s">
        <v>403</v>
      </c>
      <c r="D25" s="6">
        <v>52</v>
      </c>
      <c r="E25" s="94" t="s">
        <v>1</v>
      </c>
      <c r="G25" s="96"/>
      <c r="H25" s="96"/>
      <c r="I25" s="96"/>
      <c r="J25" s="96"/>
      <c r="K25" s="96"/>
      <c r="L25" s="96"/>
      <c r="M25" s="96"/>
      <c r="N25" s="96"/>
      <c r="O25" s="96"/>
      <c r="P25" s="96"/>
      <c r="Q25" s="96"/>
      <c r="R25" s="96"/>
      <c r="S25" s="76"/>
      <c r="T25" s="69"/>
      <c r="U25" s="69"/>
      <c r="V25" s="69"/>
      <c r="W25" s="69"/>
      <c r="X25" s="69"/>
      <c r="Y25" s="88" cm="1">
        <f t="array" aca="1" ref="Y25" ca="1">IF(IFERROR(INDEX(INDIRECT("'Wire slings "&amp;$D$24&amp;"'!$C$14:$C$37"),ROW()-6),0)=0,"",IFERROR(INDEX(INDIRECT("'Wire slings "&amp;$D$24&amp;"'!$C$14:$C$37"),ROW()-6),0))</f>
        <v>48</v>
      </c>
      <c r="Z25" s="69"/>
      <c r="AA25" s="69"/>
      <c r="AB25" s="69"/>
      <c r="AC25" s="69"/>
      <c r="AD25" s="69"/>
    </row>
    <row r="26" spans="2:30" s="75" customFormat="1" ht="18" customHeight="1">
      <c r="B26" s="103"/>
      <c r="C26" s="77" t="s">
        <v>369</v>
      </c>
      <c r="D26" s="2" t="s">
        <v>351</v>
      </c>
      <c r="E26" s="78"/>
      <c r="G26" s="96"/>
      <c r="H26" s="96"/>
      <c r="I26" s="96"/>
      <c r="J26" s="96"/>
      <c r="K26" s="96"/>
      <c r="L26" s="96"/>
      <c r="M26" s="96"/>
      <c r="N26" s="96"/>
      <c r="O26" s="96"/>
      <c r="P26" s="96"/>
      <c r="Q26" s="96"/>
      <c r="R26" s="96"/>
      <c r="S26" s="76"/>
      <c r="T26" s="69"/>
      <c r="U26" s="69"/>
      <c r="V26" s="69"/>
      <c r="W26" s="69"/>
      <c r="X26" s="69"/>
      <c r="Y26" s="88" cm="1">
        <f t="array" aca="1" ref="Y26" ca="1">IF(IFERROR(INDEX(INDIRECT("'Wire slings "&amp;$D$24&amp;"'!$C$14:$C$37"),ROW()-6),0)=0,"",IFERROR(INDEX(INDIRECT("'Wire slings "&amp;$D$24&amp;"'!$C$14:$C$37"),ROW()-6),0))</f>
        <v>52</v>
      </c>
      <c r="Z26" s="69"/>
      <c r="AA26" s="69"/>
      <c r="AB26" s="69"/>
      <c r="AC26" s="69"/>
      <c r="AD26" s="69"/>
    </row>
    <row r="27" spans="2:30" s="75" customFormat="1" ht="18" customHeight="1">
      <c r="B27" s="103"/>
      <c r="C27" s="77" t="s">
        <v>374</v>
      </c>
      <c r="D27" s="2" t="s">
        <v>357</v>
      </c>
      <c r="E27" s="78" t="s">
        <v>375</v>
      </c>
      <c r="G27" s="96"/>
      <c r="H27" s="96"/>
      <c r="I27" s="96"/>
      <c r="J27" s="96"/>
      <c r="K27" s="96"/>
      <c r="L27" s="96"/>
      <c r="M27" s="96"/>
      <c r="N27" s="96"/>
      <c r="O27" s="96"/>
      <c r="P27" s="96"/>
      <c r="Q27" s="96"/>
      <c r="R27" s="96"/>
      <c r="S27" s="76"/>
      <c r="T27" s="69"/>
      <c r="U27" s="69"/>
      <c r="V27" s="69"/>
      <c r="W27" s="69"/>
      <c r="X27" s="69"/>
      <c r="Y27" s="88" cm="1">
        <f t="array" aca="1" ref="Y27" ca="1">IF(IFERROR(INDEX(INDIRECT("'Wire slings "&amp;$D$24&amp;"'!$C$14:$C$37"),ROW()-6),0)=0,"",IFERROR(INDEX(INDIRECT("'Wire slings "&amp;$D$24&amp;"'!$C$14:$C$37"),ROW()-6),0))</f>
        <v>56</v>
      </c>
      <c r="Z27" s="69"/>
      <c r="AA27" s="69"/>
      <c r="AB27" s="69"/>
      <c r="AC27" s="69"/>
      <c r="AD27" s="69"/>
    </row>
    <row r="28" spans="2:30" s="75" customFormat="1" ht="18" customHeight="1">
      <c r="B28" s="103"/>
      <c r="C28" s="85" t="s">
        <v>380</v>
      </c>
      <c r="D28" s="85" cm="1">
        <f t="array" aca="1" ref="D28" ca="1">IF(IF(D26="Single leg",IF(D27="Direct loaded",1,IF(D27="Choke hitch - round",2,IF(D27="Choke hitch - rectangular",3,IF(D27="Basket hitch - round 60°",4,IF(D27="Basket hitch - round 90°",5,IF(D27="Basket hitch - not round 60°",6,IF(D27="Basket hitch - not round 90°",7,0))))))),IF(D26="2, 3 or 4 legs",IF(D27="Direct loaded 0 to 60°",8,IF(D27="Direct loaded 90°",9,IF(D27="Direct loaded 120°",10,IF(D27="Choke hitch - round 0 to 45°",11,IF(D27="Choke hitch - rectangular 0 to 45°",12,0))))),0))=0,"CHECK INPUTS",IFERROR(INDEX(INDIRECT("'Wire slings "&amp;D24&amp;"'!D14:O37"),MATCH(D25*1,INDIRECT("'Wire slings "&amp;D24&amp;"'!C14:C37"),0),IF(D26="Single leg",IF(D27="Direct loaded",1,IF(D27="Choke hitch - round",2,IF(D27="Choke hitch - rectangular",3,IF(D27="Basket hitch - round 60°",4,IF(D27="Basket hitch - round 90°",5,IF(D27="Basket hitch - not round 60°",6,IF(D27="Basket hitch - not round 90°",7,0))))))),IF(D26="2, 3 or 4 legs",IF(D27="Direct loaded 0 to 60°",8,IF(D27="Direct loaded 90°",9,IF(D27="Direct loaded 120°",10,IF(D27="Choke hitch - round 0 to 45°",11,IF(D27="Choke hitch - rectangular 0 to 45°",12,0))))),0))),"CHECK INPUTS"))</f>
        <v>36.6</v>
      </c>
      <c r="E28" s="90" t="s">
        <v>381</v>
      </c>
      <c r="G28" s="96"/>
      <c r="H28" s="96"/>
      <c r="I28" s="96"/>
      <c r="J28" s="96"/>
      <c r="K28" s="96"/>
      <c r="L28" s="96"/>
      <c r="M28" s="96"/>
      <c r="N28" s="96"/>
      <c r="O28" s="96"/>
      <c r="P28" s="96"/>
      <c r="Q28" s="96"/>
      <c r="R28" s="96"/>
      <c r="S28" s="76"/>
      <c r="T28" s="69"/>
      <c r="U28" s="69"/>
      <c r="V28" s="69"/>
      <c r="W28" s="69"/>
      <c r="X28" s="69"/>
      <c r="Y28" s="88" cm="1">
        <f t="array" aca="1" ref="Y28" ca="1">IF(IFERROR(INDEX(INDIRECT("'Wire slings "&amp;$D$24&amp;"'!$C$14:$C$37"),ROW()-6),0)=0,"",IFERROR(INDEX(INDIRECT("'Wire slings "&amp;$D$24&amp;"'!$C$14:$C$37"),ROW()-6),0))</f>
        <v>58</v>
      </c>
      <c r="Z28" s="69"/>
      <c r="AA28" s="69"/>
      <c r="AB28" s="69"/>
      <c r="AC28" s="69"/>
      <c r="AD28" s="69"/>
    </row>
    <row r="29" spans="2:30" s="75" customFormat="1" ht="56.25" customHeight="1">
      <c r="B29" s="103"/>
      <c r="G29" s="108" t="s">
        <v>357</v>
      </c>
      <c r="H29" s="108" t="s">
        <v>364</v>
      </c>
      <c r="I29" s="108" t="s">
        <v>370</v>
      </c>
      <c r="J29" s="109" t="s">
        <v>404</v>
      </c>
      <c r="K29" s="109"/>
      <c r="L29" s="109" t="s">
        <v>405</v>
      </c>
      <c r="M29" s="109"/>
      <c r="N29" s="109" t="s">
        <v>357</v>
      </c>
      <c r="O29" s="109"/>
      <c r="P29" s="109"/>
      <c r="Q29" s="108" t="s">
        <v>364</v>
      </c>
      <c r="R29" s="108" t="s">
        <v>370</v>
      </c>
      <c r="S29" s="76"/>
      <c r="T29" s="69"/>
      <c r="U29" s="69"/>
      <c r="V29" s="69"/>
      <c r="W29" s="69"/>
      <c r="X29" s="69"/>
      <c r="Y29" s="88" cm="1">
        <f t="array" aca="1" ref="Y29" ca="1">IF(IFERROR(INDEX(INDIRECT("'Wire slings "&amp;$D$24&amp;"'!$C$14:$C$37"),ROW()-6),0)=0,"",IFERROR(INDEX(INDIRECT("'Wire slings "&amp;$D$24&amp;"'!$C$14:$C$37"),ROW()-6),0))</f>
        <v>60</v>
      </c>
      <c r="Z29" s="69"/>
      <c r="AA29" s="69"/>
      <c r="AB29" s="69"/>
      <c r="AC29" s="69"/>
      <c r="AD29" s="69"/>
    </row>
    <row r="30" spans="2:30" s="75" customFormat="1" ht="18" customHeight="1">
      <c r="B30" s="103"/>
      <c r="E30" s="79" t="s">
        <v>406</v>
      </c>
      <c r="F30" s="81"/>
      <c r="G30" s="97" t="s">
        <v>119</v>
      </c>
      <c r="H30" s="97" t="s">
        <v>119</v>
      </c>
      <c r="I30" s="97" t="s">
        <v>119</v>
      </c>
      <c r="J30" s="97" t="s">
        <v>394</v>
      </c>
      <c r="K30" s="97" t="s">
        <v>395</v>
      </c>
      <c r="L30" s="97" t="s">
        <v>394</v>
      </c>
      <c r="M30" s="97" t="s">
        <v>395</v>
      </c>
      <c r="N30" s="97" t="s">
        <v>407</v>
      </c>
      <c r="O30" s="97" t="s">
        <v>395</v>
      </c>
      <c r="P30" s="97" t="s">
        <v>396</v>
      </c>
      <c r="Q30" s="97" t="s">
        <v>408</v>
      </c>
      <c r="R30" s="97" t="s">
        <v>408</v>
      </c>
      <c r="S30" s="76"/>
      <c r="T30" s="69"/>
      <c r="U30" s="69"/>
      <c r="V30" s="69"/>
      <c r="W30" s="69"/>
      <c r="X30" s="69"/>
      <c r="Y30" s="88" t="str" cm="1">
        <f t="array" aca="1" ref="Y30" ca="1">IF(IFERROR(INDEX(INDIRECT("'Wire slings "&amp;$D$24&amp;"'!$C$14:$C$37"),ROW()-6),0)=0,"",IFERROR(INDEX(INDIRECT("'Wire slings "&amp;$D$24&amp;"'!$C$14:$C$37"),ROW()-6),0))</f>
        <v/>
      </c>
      <c r="Z30" s="69"/>
      <c r="AA30" s="69"/>
      <c r="AB30" s="69"/>
      <c r="AC30" s="69"/>
      <c r="AD30" s="69"/>
    </row>
    <row r="31" spans="2:30" s="75" customFormat="1" ht="18" customHeight="1">
      <c r="B31" s="98"/>
      <c r="C31" s="92"/>
      <c r="D31" s="92"/>
      <c r="E31" s="92"/>
      <c r="F31" s="92"/>
      <c r="G31" s="92"/>
      <c r="H31" s="92"/>
      <c r="I31" s="92"/>
      <c r="J31" s="92"/>
      <c r="K31" s="92"/>
      <c r="L31" s="92"/>
      <c r="M31" s="92"/>
      <c r="N31" s="92"/>
      <c r="O31" s="92"/>
      <c r="P31" s="92"/>
      <c r="Q31" s="92"/>
      <c r="R31" s="92"/>
      <c r="S31" s="93"/>
      <c r="T31" s="69"/>
      <c r="U31" s="69"/>
      <c r="V31" s="69"/>
      <c r="W31" s="69"/>
      <c r="X31" s="69"/>
      <c r="Y31" s="69"/>
      <c r="Z31" s="69"/>
      <c r="AA31" s="69"/>
      <c r="AB31" s="69"/>
      <c r="AC31" s="69"/>
      <c r="AD31" s="69"/>
    </row>
    <row r="32" spans="2:30" s="75" customFormat="1" ht="18" customHeight="1">
      <c r="B32" s="572" t="s">
        <v>809</v>
      </c>
      <c r="T32" s="69"/>
      <c r="U32" s="69"/>
      <c r="V32" s="69"/>
      <c r="W32" s="69"/>
      <c r="X32" s="69"/>
      <c r="Y32" s="69"/>
      <c r="Z32" s="69"/>
      <c r="AA32" s="69"/>
      <c r="AB32" s="69"/>
      <c r="AC32" s="69"/>
      <c r="AD32" s="69"/>
    </row>
    <row r="33" spans="2:30" s="75" customFormat="1" ht="18" customHeight="1">
      <c r="B33" s="572" t="s">
        <v>810</v>
      </c>
      <c r="T33" s="69"/>
      <c r="U33" s="69"/>
      <c r="V33" s="69"/>
      <c r="W33" s="69"/>
      <c r="X33" s="69"/>
      <c r="Y33" s="69"/>
      <c r="Z33" s="69"/>
      <c r="AA33" s="69"/>
      <c r="AB33" s="69"/>
      <c r="AC33" s="69"/>
      <c r="AD33" s="69"/>
    </row>
    <row r="34" spans="2:30" s="75" customFormat="1" ht="18" customHeight="1">
      <c r="B34" s="572" t="s">
        <v>811</v>
      </c>
      <c r="T34" s="69"/>
      <c r="U34" s="69"/>
      <c r="V34" s="69"/>
      <c r="W34" s="69"/>
      <c r="X34" s="69"/>
      <c r="Y34" s="69"/>
      <c r="Z34" s="69"/>
      <c r="AA34" s="69"/>
      <c r="AB34" s="69"/>
      <c r="AC34" s="69"/>
      <c r="AD34" s="69"/>
    </row>
    <row r="35" spans="2:30" s="75" customFormat="1" ht="18" customHeight="1">
      <c r="B35" s="573" t="s">
        <v>812</v>
      </c>
      <c r="T35" s="69"/>
      <c r="U35" s="69"/>
      <c r="V35" s="69"/>
      <c r="W35" s="69"/>
      <c r="X35" s="69"/>
      <c r="Y35" s="69"/>
      <c r="Z35" s="69"/>
      <c r="AA35" s="69"/>
      <c r="AB35" s="69"/>
      <c r="AC35" s="69"/>
      <c r="AD35" s="69"/>
    </row>
    <row r="36" spans="2:30" ht="18" customHeight="1">
      <c r="B36" s="573" t="s">
        <v>813</v>
      </c>
      <c r="C36" s="75"/>
      <c r="D36" s="75"/>
      <c r="E36" s="75"/>
      <c r="F36" s="75"/>
      <c r="G36" s="75"/>
      <c r="H36" s="75"/>
      <c r="I36" s="75"/>
      <c r="J36" s="75"/>
      <c r="K36" s="75"/>
      <c r="L36" s="75"/>
      <c r="M36" s="75"/>
      <c r="N36" s="75"/>
    </row>
    <row r="37" spans="2:30" ht="18" customHeight="1">
      <c r="C37" s="75"/>
      <c r="D37" s="75"/>
      <c r="E37" s="75"/>
      <c r="F37" s="75"/>
      <c r="G37" s="75"/>
      <c r="H37" s="75"/>
      <c r="I37" s="75"/>
      <c r="J37" s="75"/>
      <c r="K37" s="75"/>
      <c r="L37" s="75"/>
      <c r="M37" s="75"/>
      <c r="N37" s="75"/>
    </row>
    <row r="38" spans="2:30" ht="18" customHeight="1">
      <c r="C38" s="75"/>
      <c r="D38" s="75"/>
      <c r="E38" s="75"/>
      <c r="G38" s="75"/>
      <c r="H38" s="75"/>
      <c r="I38" s="75"/>
      <c r="J38" s="75"/>
      <c r="K38" s="75"/>
      <c r="L38" s="75"/>
      <c r="M38" s="75"/>
      <c r="N38" s="75"/>
    </row>
    <row r="39" spans="2:30" ht="18" customHeight="1">
      <c r="C39" s="75"/>
      <c r="D39" s="75"/>
      <c r="E39" s="75"/>
      <c r="G39" s="75"/>
    </row>
    <row r="40" spans="2:30" ht="18" customHeight="1">
      <c r="C40" s="75"/>
      <c r="D40" s="75"/>
      <c r="E40" s="75"/>
      <c r="G40" s="75"/>
    </row>
    <row r="41" spans="2:30" ht="18" customHeight="1">
      <c r="C41" s="75"/>
      <c r="D41" s="75"/>
      <c r="E41" s="75"/>
    </row>
    <row r="42" spans="2:30" ht="18" customHeight="1">
      <c r="C42" s="75"/>
      <c r="D42" s="75"/>
      <c r="E42" s="75"/>
    </row>
    <row r="43" spans="2:30" ht="18" customHeight="1"/>
    <row r="44" spans="2:30" ht="18" customHeight="1"/>
    <row r="45" spans="2:30" ht="18" customHeight="1"/>
  </sheetData>
  <sheetProtection sheet="1" objects="1" scenarios="1" selectLockedCells="1"/>
  <mergeCells count="22">
    <mergeCell ref="J29:K29"/>
    <mergeCell ref="L29:M29"/>
    <mergeCell ref="N29:P29"/>
    <mergeCell ref="E30:F30"/>
    <mergeCell ref="N14:N15"/>
    <mergeCell ref="G22:M22"/>
    <mergeCell ref="N22:R22"/>
    <mergeCell ref="G23:G28"/>
    <mergeCell ref="H23:H28"/>
    <mergeCell ref="I23:I28"/>
    <mergeCell ref="J23:K28"/>
    <mergeCell ref="L23:M28"/>
    <mergeCell ref="N23:P28"/>
    <mergeCell ref="Q23:Q28"/>
    <mergeCell ref="R23:R28"/>
    <mergeCell ref="G6:I6"/>
    <mergeCell ref="J6:M6"/>
    <mergeCell ref="G14:G16"/>
    <mergeCell ref="H14:H16"/>
    <mergeCell ref="I14:I16"/>
    <mergeCell ref="J14:L15"/>
    <mergeCell ref="M14:M15"/>
  </mergeCells>
  <dataValidations count="9">
    <dataValidation type="list" showInputMessage="1" showErrorMessage="1" sqref="D25" xr:uid="{7E12EC6A-45D0-493C-8256-AEE0018F7ECC}">
      <formula1>$Y$7:$Y$30</formula1>
    </dataValidation>
    <dataValidation type="list" allowBlank="1" showInputMessage="1" showErrorMessage="1" errorTitle="Invalid grade" error="Select 1770 or 1960." sqref="D24" xr:uid="{16FAD9F5-05FE-43E6-A9F6-0025B268182A}">
      <formula1>"1770,1960"</formula1>
    </dataValidation>
    <dataValidation type="decimal" operator="greaterThan" showInputMessage="1" showErrorMessage="1" errorTitle="Invalid load" error="Load must be a number &gt; 0." sqref="D14" xr:uid="{DF534FC1-DB4F-4AA6-9129-B8AB002BE832}">
      <formula1>0</formula1>
    </dataValidation>
    <dataValidation type="list" allowBlank="1" showInputMessage="1" showErrorMessage="1" errorTitle="Invalid selection" error="Select a valid chain sling configuration." sqref="D16 D9" xr:uid="{E691E93A-208E-4468-9D4B-1CFAD3CB7051}">
      <formula1>INDIRECT(IF(D8="Single","AD8:AD10",IF(D8="2 or more","AE8:AE11",IF(D8="2 legs","AF8","AG1"))))</formula1>
    </dataValidation>
    <dataValidation type="list" showInputMessage="1" showErrorMessage="1" errorTitle="Invalid selection" error="Select a valid wire sling configuration." sqref="D27" xr:uid="{55ABE609-9F0C-45CE-AC5B-6DCBB3FDC615}">
      <formula1>INDIRECT(IF(D26="Single leg","U6:U12",IF(D26="2, 3 or 4 legs","V6:V10","AG1")))</formula1>
    </dataValidation>
    <dataValidation type="list" showInputMessage="1" showErrorMessage="1" sqref="D7" xr:uid="{E422D967-42D0-41E9-AD20-87E385181984}">
      <formula1>$X$7:$X$20</formula1>
    </dataValidation>
    <dataValidation type="list" showInputMessage="1" showErrorMessage="1" sqref="D26" xr:uid="{F1FD1304-7EBF-43D8-8C5F-E553976CF86B}">
      <formula1>$T$6:$T$7</formula1>
    </dataValidation>
    <dataValidation type="list" showInputMessage="1" showErrorMessage="1" sqref="D15 D8" xr:uid="{6128FBDF-6849-4FF9-A0CD-DFD2DA159B03}">
      <formula1>$Z$7:$Z$9</formula1>
    </dataValidation>
    <dataValidation type="list" showInputMessage="1" showErrorMessage="1" sqref="D17 D6" xr:uid="{B81A7F3F-7C67-435B-8125-3CCBD14732D2}">
      <formula1>$W$7:$W$9</formula1>
    </dataValidation>
  </dataValidations>
  <hyperlinks>
    <hyperlink ref="G2" location="Home!A1" display="Home" xr:uid="{7DB48C1C-F308-437B-955E-0EDDE0BA4532}"/>
    <hyperlink ref="B35" r:id="rId1" xr:uid="{554BEF20-E7C1-4E87-A581-A33F19ABD3D9}"/>
    <hyperlink ref="B36" r:id="rId2" xr:uid="{2E8AC1D8-67B8-4FA0-AFEA-EF3B9311376B}"/>
  </hyperlinks>
  <pageMargins left="0.25" right="0.25" top="0.75" bottom="0.75" header="0.3" footer="0.3"/>
  <pageSetup paperSize="9" scale="66" orientation="landscape" horizontalDpi="300" verticalDpi="300"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6B3F5-D6E5-4E5B-91BF-0934A5F7395A}">
  <sheetPr codeName="Sheet23"/>
  <dimension ref="B1:O35"/>
  <sheetViews>
    <sheetView showGridLines="0" showRowColHeaders="0" zoomScale="90" zoomScaleNormal="90" workbookViewId="0">
      <selection activeCell="N13" sqref="N13"/>
      <extLst>
        <ext xmlns:xlsdti="http://schemas.microsoft.com/office/spreadsheetml/2023/showDataTypeIcons" uri="{77bfe23e-c014-4d31-8a63-9c772dbf06b6}">
          <xlsdti:showDataTypeIcons visible="0"/>
        </ext>
      </extLst>
    </sheetView>
  </sheetViews>
  <sheetFormatPr defaultRowHeight="12.75"/>
  <cols>
    <col min="1" max="1" width="5.7109375" style="285" customWidth="1"/>
    <col min="2" max="2" width="15.7109375" style="285" customWidth="1"/>
    <col min="3" max="3" width="10.5703125" style="285" customWidth="1"/>
    <col min="4" max="4" width="9.7109375" style="285" customWidth="1"/>
    <col min="5" max="5" width="15.7109375" style="285" customWidth="1"/>
    <col min="6" max="6" width="9.7109375" style="285" customWidth="1"/>
    <col min="7" max="7" width="13.5703125" style="285" customWidth="1"/>
    <col min="8" max="8" width="7" style="285" customWidth="1"/>
    <col min="9" max="9" width="16.85546875" style="285" bestFit="1" customWidth="1"/>
    <col min="10" max="12" width="9.7109375" style="285" customWidth="1"/>
    <col min="13" max="13" width="14.140625" style="285" bestFit="1" customWidth="1"/>
    <col min="14" max="14" width="9.7109375" style="285" customWidth="1"/>
    <col min="15" max="15" width="8.42578125" style="285" bestFit="1" customWidth="1"/>
    <col min="16" max="19" width="9.7109375" style="285" customWidth="1"/>
    <col min="20" max="16384" width="9.140625" style="285"/>
  </cols>
  <sheetData>
    <row r="1" spans="2:15" ht="18" customHeight="1"/>
    <row r="2" spans="2:15" ht="20.25">
      <c r="B2" s="66" t="s">
        <v>676</v>
      </c>
      <c r="O2" s="592" t="s">
        <v>298</v>
      </c>
    </row>
    <row r="3" spans="2:15" ht="18" customHeight="1">
      <c r="I3" s="321" t="s">
        <v>697</v>
      </c>
      <c r="J3" s="321"/>
      <c r="K3" s="321"/>
      <c r="L3" s="321"/>
      <c r="M3" s="321"/>
    </row>
    <row r="4" spans="2:15" ht="18" customHeight="1">
      <c r="B4" s="322" t="s">
        <v>70</v>
      </c>
      <c r="C4" s="35">
        <v>10000</v>
      </c>
      <c r="D4" s="285" t="s">
        <v>49</v>
      </c>
      <c r="I4" s="321"/>
      <c r="J4" s="321"/>
      <c r="K4" s="321"/>
      <c r="L4" s="321"/>
      <c r="M4" s="321"/>
    </row>
    <row r="5" spans="2:15" ht="18" customHeight="1">
      <c r="B5" s="322" t="s">
        <v>71</v>
      </c>
      <c r="C5" s="35">
        <v>8000</v>
      </c>
      <c r="D5" s="285" t="s">
        <v>1</v>
      </c>
      <c r="I5" s="321"/>
      <c r="J5" s="321"/>
      <c r="K5" s="321"/>
      <c r="L5" s="321"/>
      <c r="M5" s="321"/>
    </row>
    <row r="6" spans="2:15" ht="18" customHeight="1">
      <c r="B6" s="322" t="s">
        <v>73</v>
      </c>
      <c r="C6" s="35">
        <v>3000</v>
      </c>
      <c r="D6" s="285" t="s">
        <v>1</v>
      </c>
      <c r="I6" s="323"/>
      <c r="J6" s="323"/>
      <c r="K6" s="323"/>
      <c r="L6" s="323"/>
      <c r="M6" s="323"/>
    </row>
    <row r="7" spans="2:15" ht="18" customHeight="1">
      <c r="B7" s="322" t="s">
        <v>199</v>
      </c>
      <c r="C7" s="35">
        <v>3500</v>
      </c>
      <c r="D7" s="285" t="s">
        <v>1</v>
      </c>
      <c r="E7" s="324" t="s">
        <v>804</v>
      </c>
      <c r="F7" s="325"/>
      <c r="G7" s="326"/>
      <c r="I7" s="285" t="s">
        <v>677</v>
      </c>
      <c r="J7" s="36">
        <v>12</v>
      </c>
      <c r="K7" s="285" t="s">
        <v>50</v>
      </c>
      <c r="L7" s="285" t="s">
        <v>504</v>
      </c>
    </row>
    <row r="8" spans="2:15" ht="18" customHeight="1">
      <c r="B8" s="322" t="s">
        <v>200</v>
      </c>
      <c r="C8" s="35">
        <v>1800</v>
      </c>
      <c r="D8" s="285" t="s">
        <v>1</v>
      </c>
      <c r="E8" s="327"/>
      <c r="F8" s="320"/>
      <c r="G8" s="328"/>
      <c r="I8" s="285" t="s">
        <v>678</v>
      </c>
      <c r="J8" s="36">
        <v>9000</v>
      </c>
      <c r="K8" s="285" t="s">
        <v>49</v>
      </c>
      <c r="L8" s="329" t="s">
        <v>679</v>
      </c>
      <c r="M8" s="36">
        <v>2</v>
      </c>
      <c r="N8" s="287" t="s">
        <v>507</v>
      </c>
    </row>
    <row r="9" spans="2:15" ht="18" customHeight="1">
      <c r="B9" s="322" t="s">
        <v>201</v>
      </c>
      <c r="C9" s="35">
        <v>9000</v>
      </c>
      <c r="D9" s="285" t="s">
        <v>1</v>
      </c>
      <c r="E9" s="330"/>
      <c r="F9" s="331"/>
      <c r="G9" s="332"/>
      <c r="I9" s="285" t="s">
        <v>680</v>
      </c>
      <c r="J9" s="36">
        <v>60</v>
      </c>
      <c r="K9" s="285" t="s">
        <v>510</v>
      </c>
      <c r="M9" s="333"/>
    </row>
    <row r="10" spans="2:15" ht="18" customHeight="1">
      <c r="C10" s="334"/>
      <c r="J10" s="334"/>
      <c r="N10" s="334"/>
    </row>
    <row r="11" spans="2:15" ht="18" customHeight="1">
      <c r="C11" s="334"/>
      <c r="I11" s="322" t="s">
        <v>202</v>
      </c>
      <c r="J11" s="335">
        <f>IF(C9&gt;0,IF(ISTEXT(C13),"",SQRT((C7*C7)+(C6-C8)*(C6-C8)+(C9*C9))/1000),"")</f>
        <v>9.7308786859152665</v>
      </c>
      <c r="K11" s="285" t="s">
        <v>50</v>
      </c>
      <c r="M11" s="322" t="s">
        <v>203</v>
      </c>
      <c r="N11" s="335">
        <f>IF(C9&gt;0,IF(ISTEXT(F13),"",SQRT(((C5-C7)*(C5-C7))+(C6-C8)*(C6-C8)+(C9*C9))/1000),"")</f>
        <v>10.133607452432722</v>
      </c>
      <c r="O11" s="285" t="s">
        <v>50</v>
      </c>
    </row>
    <row r="12" spans="2:15" ht="18" customHeight="1">
      <c r="C12" s="334"/>
      <c r="I12" s="322" t="s">
        <v>204</v>
      </c>
      <c r="J12" s="336">
        <f>IF(C9&gt;0,IFERROR(C13/C9*J11*1000*IF(ISBLANK($M$8),1,$M$8),"CHECK INPUTS"),"")</f>
        <v>7298.15901443645</v>
      </c>
      <c r="K12" s="285" t="s">
        <v>49</v>
      </c>
      <c r="M12" s="322" t="s">
        <v>205</v>
      </c>
      <c r="N12" s="336">
        <f>IF(C9&gt;0,IFERROR(F13/C9*N11*1000*IF(ISBLANK($M$8),1,$M$8),"CHECK INPUTS"),"")</f>
        <v>5911.2710139190885</v>
      </c>
      <c r="O12" s="285" t="s">
        <v>49</v>
      </c>
    </row>
    <row r="13" spans="2:15" ht="18" customHeight="1">
      <c r="B13" s="322" t="s">
        <v>74</v>
      </c>
      <c r="C13" s="336">
        <f>IFERROR(IF(OR(C4&lt;=0,C5&lt;=0,C6&lt;=0,C7&lt;0,C8&lt;0,C7&gt;C5,C8&gt;C6,ISBLANK(C7),ISBLANK(C8)),"CHECK INPUTS",(C4/C5*(C5-C7))/C6*C8),"CHECK INPUTS")</f>
        <v>3375</v>
      </c>
      <c r="D13" s="285" t="s">
        <v>49</v>
      </c>
      <c r="E13" s="322" t="s">
        <v>75</v>
      </c>
      <c r="F13" s="336">
        <f>IFERROR(IF(OR(C4&lt;=0,C5&lt;=0,C6&lt;=0,C7&lt;0,C8&lt;0,C7&gt;C5,C8&gt;C6,ISBLANK(C7),ISBLANK(C8)),"CHECK INPUTS",C4/C5*C7/C6*C8),"CHECK INPUTS")</f>
        <v>2625</v>
      </c>
      <c r="G13" s="285" t="s">
        <v>49</v>
      </c>
      <c r="I13" s="322" t="s">
        <v>206</v>
      </c>
      <c r="J13" s="335">
        <f>IF(C9&gt;0,IF(ISTEXT(C13),"",ASIN(C9/(J11*1000))/PI()*180),"")</f>
        <v>67.651891652090569</v>
      </c>
      <c r="K13" s="285" t="s">
        <v>207</v>
      </c>
      <c r="M13" s="322" t="s">
        <v>208</v>
      </c>
      <c r="N13" s="335">
        <f>IF(C9&gt;0,IF(ISTEXT(F13),"",ASIN(C9/(N11*1000))/PI()*180),"")</f>
        <v>62.639678454667205</v>
      </c>
      <c r="O13" s="285" t="s">
        <v>207</v>
      </c>
    </row>
    <row r="14" spans="2:15" ht="18" customHeight="1"/>
    <row r="15" spans="2:15" ht="18" customHeight="1"/>
    <row r="16" spans="2:15" ht="18" customHeight="1"/>
    <row r="17" spans="2:15" ht="18" customHeight="1"/>
    <row r="18" spans="2:15" ht="18" customHeight="1"/>
    <row r="19" spans="2:15" ht="18" customHeight="1"/>
    <row r="20" spans="2:15" ht="18" customHeight="1"/>
    <row r="21" spans="2:15" ht="18" customHeight="1"/>
    <row r="22" spans="2:15" ht="18" customHeight="1">
      <c r="J22" s="337"/>
      <c r="L22" s="338"/>
    </row>
    <row r="23" spans="2:15" ht="18" customHeight="1"/>
    <row r="24" spans="2:15" ht="18" customHeight="1"/>
    <row r="25" spans="2:15" ht="18" customHeight="1"/>
    <row r="26" spans="2:15" ht="18" customHeight="1">
      <c r="B26" s="322" t="s">
        <v>209</v>
      </c>
      <c r="C26" s="336">
        <f>IFERROR(IF(OR(C4&lt;=0,C5&lt;=0,C6&lt;=0,C7&lt;0,C8&lt;0,C7&gt;C5,C8&gt;C6,ISBLANK(C7),ISBLANK(C8)),"CHECK INPUTS",(C4/C5*(C5-C7))/C6*(C6-C8)),"CHECK INPUTS")</f>
        <v>2250</v>
      </c>
      <c r="D26" s="285" t="s">
        <v>49</v>
      </c>
      <c r="E26" s="322" t="s">
        <v>210</v>
      </c>
      <c r="F26" s="336">
        <f>IFERROR(IF(OR(C4&lt;=0,C5&lt;=0,C6&lt;=0,C7&lt;0,C8&lt;0,C7&gt;C5,C8&gt;C6,ISBLANK(C7),ISBLANK(C8)),"CHECK INPUTS",C4/C5*C7/C6*(C6-C8)),"CHECK INPUTS")</f>
        <v>1750</v>
      </c>
      <c r="G26" s="285" t="s">
        <v>49</v>
      </c>
      <c r="I26" s="322" t="s">
        <v>211</v>
      </c>
      <c r="J26" s="335">
        <f>IF(C9&gt;0,IF(ISTEXT(C26),"",SQRT((C7*C7)+(C8*C8)+(C9*C9))/1000),"")</f>
        <v>9.8229323524088272</v>
      </c>
      <c r="K26" s="285" t="s">
        <v>50</v>
      </c>
      <c r="M26" s="322" t="s">
        <v>212</v>
      </c>
      <c r="N26" s="335">
        <f>IF(C9&gt;0,IF(ISTEXT(F26),"",SQRT((C5-C7)*(C5-C7)+(C8*C8)+(C9*C9))/1000),"")</f>
        <v>10.222035022440492</v>
      </c>
      <c r="O26" s="285" t="s">
        <v>50</v>
      </c>
    </row>
    <row r="27" spans="2:15" ht="18" customHeight="1">
      <c r="I27" s="322" t="s">
        <v>213</v>
      </c>
      <c r="J27" s="336">
        <f>IF(C9&gt;0,IFERROR(C26/C9*J26*1000*IF(ISBLANK($M$8),1,$M$8),"CHECK INPUTS"),"")</f>
        <v>4911.4661762044134</v>
      </c>
      <c r="K27" s="285" t="s">
        <v>49</v>
      </c>
      <c r="M27" s="322" t="s">
        <v>214</v>
      </c>
      <c r="N27" s="336">
        <f>IF(C9&gt;0,IFERROR(F26/C9*N26*1000*IF(ISBLANK($M$8),1,$M$8),"CHECK INPUTS"),"")</f>
        <v>3975.2358420601913</v>
      </c>
      <c r="O27" s="285" t="s">
        <v>49</v>
      </c>
    </row>
    <row r="28" spans="2:15" ht="18" customHeight="1">
      <c r="C28" s="320" t="s">
        <v>681</v>
      </c>
      <c r="D28" s="320"/>
      <c r="E28" s="320"/>
      <c r="F28" s="333"/>
      <c r="I28" s="322" t="s">
        <v>215</v>
      </c>
      <c r="J28" s="335">
        <f>IF(C9&gt;0,IF(ISTEXT(C26),"",ASIN(C9/(J26*1000))/PI()*180),"")</f>
        <v>66.380060887836891</v>
      </c>
      <c r="K28" s="285" t="s">
        <v>207</v>
      </c>
      <c r="M28" s="322" t="s">
        <v>216</v>
      </c>
      <c r="N28" s="335">
        <f>IF(C9&gt;0,IF(ISTEXT(F26),"",ASIN(C9/(N26*1000))/PI()*180),"")</f>
        <v>61.696803899611822</v>
      </c>
      <c r="O28" s="285" t="s">
        <v>207</v>
      </c>
    </row>
    <row r="29" spans="2:15" ht="18" customHeight="1">
      <c r="B29" s="339" t="str">
        <f>IF(COUNT(C13,F13,C26,F26)&lt;&gt;4,"",IF(MIN(C13,F13,C26,F26)&lt;=0,"WARNING: reduced-point geometry - fewer than four positive lift-point loads",""))</f>
        <v/>
      </c>
      <c r="C29" s="320"/>
      <c r="D29" s="320"/>
      <c r="E29" s="320"/>
      <c r="F29" s="333"/>
    </row>
    <row r="30" spans="2:15" ht="18" customHeight="1">
      <c r="B30" s="333"/>
      <c r="C30" s="320"/>
      <c r="D30" s="320"/>
      <c r="E30" s="320"/>
      <c r="F30" s="333"/>
    </row>
    <row r="31" spans="2:15" ht="18" customHeight="1">
      <c r="B31" s="572" t="s">
        <v>809</v>
      </c>
    </row>
    <row r="32" spans="2:15" ht="18" customHeight="1">
      <c r="B32" s="572" t="s">
        <v>810</v>
      </c>
    </row>
    <row r="33" spans="2:2" ht="18" customHeight="1">
      <c r="B33" s="572" t="s">
        <v>811</v>
      </c>
    </row>
    <row r="34" spans="2:2" ht="18" customHeight="1">
      <c r="B34" s="573" t="s">
        <v>812</v>
      </c>
    </row>
    <row r="35" spans="2:2" ht="15">
      <c r="B35" s="573" t="s">
        <v>813</v>
      </c>
    </row>
  </sheetData>
  <sheetProtection sheet="1" objects="1" scenarios="1" selectLockedCells="1"/>
  <mergeCells count="3">
    <mergeCell ref="I3:M5"/>
    <mergeCell ref="E7:G9"/>
    <mergeCell ref="C28:E30"/>
  </mergeCells>
  <conditionalFormatting sqref="C9">
    <cfRule type="expression" dxfId="59" priority="9">
      <formula>AND(C9&gt;0, OR(J13&lt;30, N13&lt;30, J28&lt;30, N28&lt;30))</formula>
    </cfRule>
  </conditionalFormatting>
  <conditionalFormatting sqref="J11">
    <cfRule type="expression" dxfId="58" priority="10">
      <formula>AND($C$9&gt;0, J11&gt;$J$7)</formula>
    </cfRule>
  </conditionalFormatting>
  <conditionalFormatting sqref="J12">
    <cfRule type="expression" dxfId="57" priority="1">
      <formula>AND($C$9&gt;0, J12&gt;$J$8)</formula>
    </cfRule>
  </conditionalFormatting>
  <conditionalFormatting sqref="J13">
    <cfRule type="expression" dxfId="56" priority="5">
      <formula>AND($C$9&gt;0, OR(J13&lt;30, J13&lt;$J$9, J13&gt;90))</formula>
    </cfRule>
  </conditionalFormatting>
  <conditionalFormatting sqref="J26">
    <cfRule type="expression" dxfId="55" priority="12">
      <formula>AND($C$9&gt;0, J26&gt;$J$7)</formula>
    </cfRule>
  </conditionalFormatting>
  <conditionalFormatting sqref="J27">
    <cfRule type="expression" dxfId="54" priority="3">
      <formula>AND($C$9&gt;0, J27&gt;$J$8)</formula>
    </cfRule>
  </conditionalFormatting>
  <conditionalFormatting sqref="J28">
    <cfRule type="expression" dxfId="53" priority="7">
      <formula>AND($C$9&gt;0, OR(J28&lt;30, J28&lt;$J$9, J28&gt;90))</formula>
    </cfRule>
  </conditionalFormatting>
  <conditionalFormatting sqref="N11">
    <cfRule type="expression" dxfId="52" priority="11">
      <formula>AND($C$9&gt;0, N11&gt;$J$7)</formula>
    </cfRule>
  </conditionalFormatting>
  <conditionalFormatting sqref="N12">
    <cfRule type="expression" dxfId="51" priority="2">
      <formula>AND($C$9&gt;0, N12&gt;$J$8)</formula>
    </cfRule>
  </conditionalFormatting>
  <conditionalFormatting sqref="N13">
    <cfRule type="expression" dxfId="50" priority="6">
      <formula>AND($C$9&gt;0, OR(N13&lt;30, N13&lt;$J$9, N13&gt;90))</formula>
    </cfRule>
  </conditionalFormatting>
  <conditionalFormatting sqref="N26">
    <cfRule type="expression" dxfId="49" priority="13">
      <formula>AND($C$9&gt;0, N26&gt;$J$7)</formula>
    </cfRule>
  </conditionalFormatting>
  <conditionalFormatting sqref="N27">
    <cfRule type="expression" dxfId="48" priority="4">
      <formula>AND($C$9&gt;0, N27&gt;$J$8)</formula>
    </cfRule>
  </conditionalFormatting>
  <conditionalFormatting sqref="N28">
    <cfRule type="expression" dxfId="47" priority="8">
      <formula>AND($C$9&gt;0, OR(N28&lt;30, N28&lt;$J$9, N28&gt;90))</formula>
    </cfRule>
  </conditionalFormatting>
  <dataValidations count="10">
    <dataValidation type="decimal" allowBlank="1" showInputMessage="1" showErrorMessage="1" errorTitle="Invalid DAF" error="DAF must be between 1.1 and 5" sqref="M8" xr:uid="{D99CA473-3AEF-4565-BFF7-76B650AC63F5}">
      <formula1>1.1</formula1>
      <formula2>5</formula2>
    </dataValidation>
    <dataValidation type="decimal" operator="greaterThanOrEqual" showInputMessage="1" showErrorMessage="1" errorTitle="Invalid distance" error="Distance E must be a number ≥ 0." sqref="C9" xr:uid="{AFFC7187-18A1-4575-9CF4-1BE3E6431D74}">
      <formula1>0</formula1>
    </dataValidation>
    <dataValidation type="decimal" operator="greaterThanOrEqual" showInputMessage="1" showErrorMessage="1" errorTitle="Invalid distance" error="Distance D must be a number ≥ 0." sqref="C8" xr:uid="{927F7073-6C96-4A10-8BA7-7DF6C66913F3}">
      <formula1>0</formula1>
    </dataValidation>
    <dataValidation type="decimal" operator="greaterThanOrEqual" showInputMessage="1" showErrorMessage="1" errorTitle="Invalid distance" error="Distance C must be a number ≥ 0." sqref="C7" xr:uid="{111B7634-1FAD-40FF-90D0-2950C059DD1D}">
      <formula1>0</formula1>
    </dataValidation>
    <dataValidation type="decimal" operator="greaterThan" showInputMessage="1" showErrorMessage="1" errorTitle="Invalid distance" error="Distance B must be a number &gt; 0." sqref="C6" xr:uid="{7FE9259B-F455-4CF3-A401-A1F438B39B03}">
      <formula1>0</formula1>
    </dataValidation>
    <dataValidation type="decimal" operator="greaterThan" showInputMessage="1" showErrorMessage="1" errorTitle="Invalid distance" error="Distance A must be a number &gt; 0." sqref="C5" xr:uid="{23BAAD38-8431-420B-BA4E-633AC52D443F}">
      <formula1>0</formula1>
    </dataValidation>
    <dataValidation type="decimal" operator="greaterThan" showInputMessage="1" showErrorMessage="1" errorTitle="Invalid weight" error="Weight must be a number &gt; 0." sqref="C4" xr:uid="{5F5FAF65-8C53-49DC-8FA2-12C6ADFF358F}">
      <formula1>0</formula1>
    </dataValidation>
    <dataValidation type="decimal" operator="greaterThan" showInputMessage="1" showErrorMessage="1" errorTitle="Invalid warning limit" error="Warning limit must be a number &gt; 0." sqref="J7" xr:uid="{B1F1B076-F8CE-4A09-B3DF-07DC01BC3FA1}">
      <formula1>0</formula1>
    </dataValidation>
    <dataValidation type="decimal" operator="greaterThan" showInputMessage="1" showErrorMessage="1" errorTitle="Invalid warning limit" error="Warning limit must be a number &gt; 0." sqref="J8" xr:uid="{80A9256F-1B02-41DD-AF9C-C8041D9FFC7B}">
      <formula1>0</formula1>
    </dataValidation>
    <dataValidation type="decimal" showInputMessage="1" showErrorMessage="1" errorTitle="Invalid minimum angle" error="Minimum sling angle must be between 30 and 90 degrees." sqref="J9" xr:uid="{F2F46D33-D357-42F6-88EB-44399CD72ED0}">
      <formula1>30</formula1>
      <formula2>90</formula2>
    </dataValidation>
  </dataValidations>
  <hyperlinks>
    <hyperlink ref="O2" location="Home!A1" display="Home" xr:uid="{425A68C5-1CB5-4F8A-A510-0CB28E5F55AE}"/>
    <hyperlink ref="B34" r:id="rId1" xr:uid="{5466710F-03DC-47E6-BBD0-ED48D3AE932A}"/>
    <hyperlink ref="B35" r:id="rId2" xr:uid="{F11E4FEC-43B3-4D24-8C5D-2FDCF39C7EA8}"/>
  </hyperlinks>
  <pageMargins left="0.25" right="0.25" top="0.75" bottom="0.75" header="0.3" footer="0.3"/>
  <pageSetup paperSize="9" orientation="landscape" horizontalDpi="300" verticalDpi="300" r:id="rId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443C4-A3C4-454E-AB24-201FDE3F2F8A}">
  <sheetPr codeName="Sheet24">
    <pageSetUpPr fitToPage="1"/>
  </sheetPr>
  <dimension ref="B2:AR40"/>
  <sheetViews>
    <sheetView showGridLines="0" showRowColHeaders="0" zoomScale="90" zoomScaleNormal="90" workbookViewId="0">
      <selection activeCell="N13" sqref="N13"/>
      <extLst>
        <ext xmlns:xlsdti="http://schemas.microsoft.com/office/spreadsheetml/2023/showDataTypeIcons" uri="{77bfe23e-c014-4d31-8a63-9c772dbf06b6}">
          <xlsdti:showDataTypeIcons visible="0"/>
        </ext>
      </extLst>
    </sheetView>
  </sheetViews>
  <sheetFormatPr defaultRowHeight="18" customHeight="1"/>
  <cols>
    <col min="1" max="1" width="6.7109375" style="175" customWidth="1"/>
    <col min="2" max="2" width="3.7109375" style="175" customWidth="1"/>
    <col min="3" max="3" width="3.7109375" style="88" customWidth="1"/>
    <col min="4" max="4" width="3.7109375" style="175" customWidth="1"/>
    <col min="5" max="5" width="5.5703125" style="175" customWidth="1"/>
    <col min="6" max="20" width="3.7109375" style="175" customWidth="1"/>
    <col min="21" max="21" width="3.7109375" style="88" customWidth="1"/>
    <col min="22" max="50" width="3.7109375" style="175" customWidth="1"/>
    <col min="51" max="16384" width="9.140625" style="175"/>
  </cols>
  <sheetData>
    <row r="2" spans="2:44" ht="18" customHeight="1">
      <c r="B2" s="66" t="s">
        <v>437</v>
      </c>
      <c r="N2" s="68"/>
      <c r="W2" s="593" t="s">
        <v>298</v>
      </c>
      <c r="X2" s="340"/>
      <c r="Y2" s="340"/>
      <c r="AP2" s="47"/>
      <c r="AQ2" s="47"/>
      <c r="AR2" s="47"/>
    </row>
    <row r="3" spans="2:44" ht="18" customHeight="1">
      <c r="B3" s="341" t="s">
        <v>698</v>
      </c>
      <c r="AF3" s="342" t="s">
        <v>699</v>
      </c>
    </row>
    <row r="5" spans="2:44" ht="18" customHeight="1">
      <c r="B5" s="271" t="s">
        <v>438</v>
      </c>
      <c r="C5" s="271"/>
      <c r="D5" s="271"/>
      <c r="E5" s="271"/>
      <c r="F5" s="46">
        <v>35000</v>
      </c>
      <c r="G5" s="46"/>
      <c r="H5" s="46"/>
      <c r="I5" s="181" t="s">
        <v>49</v>
      </c>
      <c r="K5" s="290" t="s">
        <v>439</v>
      </c>
      <c r="L5" s="291"/>
      <c r="M5" s="291"/>
      <c r="N5" s="292"/>
      <c r="O5" s="284"/>
      <c r="P5" s="284"/>
      <c r="Q5" s="284"/>
      <c r="R5" s="284"/>
      <c r="S5" s="284"/>
      <c r="T5" s="284"/>
      <c r="U5" s="284"/>
      <c r="V5" s="181"/>
      <c r="W5" s="290" t="s">
        <v>440</v>
      </c>
      <c r="X5" s="291"/>
      <c r="Y5" s="291"/>
      <c r="Z5" s="292"/>
      <c r="AA5" s="284"/>
      <c r="AB5" s="284"/>
      <c r="AC5" s="284"/>
      <c r="AD5" s="284"/>
      <c r="AE5" s="290" t="s">
        <v>441</v>
      </c>
      <c r="AF5" s="291"/>
      <c r="AG5" s="291"/>
      <c r="AH5" s="292"/>
      <c r="AI5" s="284"/>
      <c r="AJ5" s="284"/>
      <c r="AK5" s="284"/>
      <c r="AL5" s="284"/>
      <c r="AM5" s="284"/>
      <c r="AN5" s="284"/>
      <c r="AO5" s="290" t="s">
        <v>442</v>
      </c>
      <c r="AP5" s="291"/>
      <c r="AQ5" s="291"/>
      <c r="AR5" s="292"/>
    </row>
    <row r="6" spans="2:44" ht="18" customHeight="1">
      <c r="K6" s="343">
        <f>IF($B$19&lt;&gt;"","CHECK",$F$5*(($D$9+$D$10+$D$11/2)-$D$12)/(($D$9+$D$10+$D$11/2)-$D$9/2)*$D$13/$D$8/2)</f>
        <v>2978.9803562074385</v>
      </c>
      <c r="L6" s="104"/>
      <c r="M6" s="104"/>
      <c r="N6" s="284" t="s">
        <v>49</v>
      </c>
      <c r="O6" s="284"/>
      <c r="P6" s="284"/>
      <c r="Q6" s="284"/>
      <c r="R6" s="284"/>
      <c r="S6" s="284"/>
      <c r="T6" s="284"/>
      <c r="U6" s="284"/>
      <c r="V6" s="181"/>
      <c r="W6" s="343">
        <f>IF($B$19&lt;&gt;"","CHECK",$F$5*(($D$9+$D$10+$D$11/2)-$D$12)/(($D$9+$D$10+$D$11/2)-$D$9/2)*$D$13/$D$8/2)</f>
        <v>2978.9803562074385</v>
      </c>
      <c r="X6" s="104"/>
      <c r="Y6" s="104"/>
      <c r="Z6" s="284" t="s">
        <v>49</v>
      </c>
      <c r="AA6" s="284"/>
      <c r="AB6" s="284"/>
      <c r="AC6" s="284"/>
      <c r="AD6" s="284"/>
      <c r="AE6" s="343">
        <f>IF($B$19&lt;&gt;"","CHECK",$F$5*($D$12-$D$9/2)/(($D$9+$D$10+$D$11/2)-$D$9/2)*$D$13/$D$8/2)</f>
        <v>3142.5196437925615</v>
      </c>
      <c r="AF6" s="104"/>
      <c r="AG6" s="104"/>
      <c r="AH6" s="284" t="s">
        <v>49</v>
      </c>
      <c r="AI6" s="284"/>
      <c r="AJ6" s="284"/>
      <c r="AK6" s="284"/>
      <c r="AL6" s="284"/>
      <c r="AM6" s="284"/>
      <c r="AN6" s="284"/>
      <c r="AO6" s="343">
        <f>IF($B$19&lt;&gt;"","CHECK",$F$5*($D$12-$D$9/2)/(($D$9+$D$10+$D$11/2)-$D$9/2)*$D$13/$D$8/2)</f>
        <v>3142.5196437925615</v>
      </c>
      <c r="AP6" s="104"/>
      <c r="AQ6" s="104"/>
      <c r="AR6" s="284" t="s">
        <v>49</v>
      </c>
    </row>
    <row r="7" spans="2:44" ht="18" customHeight="1">
      <c r="B7" s="344" t="s">
        <v>443</v>
      </c>
      <c r="C7" s="344"/>
      <c r="D7" s="344"/>
      <c r="E7" s="344"/>
    </row>
    <row r="8" spans="2:44" ht="18" customHeight="1">
      <c r="B8" s="104" t="s">
        <v>444</v>
      </c>
      <c r="C8" s="290"/>
      <c r="D8" s="46">
        <v>5000</v>
      </c>
      <c r="E8" s="46"/>
      <c r="F8" s="283"/>
    </row>
    <row r="9" spans="2:44" ht="18" customHeight="1">
      <c r="B9" s="104" t="s">
        <v>445</v>
      </c>
      <c r="C9" s="290"/>
      <c r="D9" s="46">
        <v>7200</v>
      </c>
      <c r="E9" s="46"/>
      <c r="F9" s="283"/>
    </row>
    <row r="10" spans="2:44" ht="18" customHeight="1">
      <c r="B10" s="104" t="s">
        <v>446</v>
      </c>
      <c r="C10" s="290"/>
      <c r="D10" s="46">
        <v>2545</v>
      </c>
      <c r="E10" s="46"/>
      <c r="F10" s="283"/>
    </row>
    <row r="11" spans="2:44" ht="18" customHeight="1">
      <c r="B11" s="104" t="s">
        <v>447</v>
      </c>
      <c r="C11" s="290"/>
      <c r="D11" s="46">
        <v>6800</v>
      </c>
      <c r="E11" s="46"/>
      <c r="F11" s="283"/>
    </row>
    <row r="12" spans="2:44" ht="18" customHeight="1">
      <c r="B12" s="104" t="s">
        <v>448</v>
      </c>
      <c r="C12" s="290"/>
      <c r="D12" s="46">
        <v>8500</v>
      </c>
      <c r="E12" s="46"/>
      <c r="F12" s="283"/>
    </row>
    <row r="13" spans="2:44" ht="18" customHeight="1">
      <c r="B13" s="104" t="s">
        <v>449</v>
      </c>
      <c r="C13" s="290"/>
      <c r="D13" s="46">
        <v>1749</v>
      </c>
      <c r="E13" s="46"/>
      <c r="F13" s="283"/>
    </row>
    <row r="15" spans="2:44" ht="18" customHeight="1">
      <c r="B15" s="345" t="s">
        <v>450</v>
      </c>
      <c r="C15" s="345"/>
      <c r="D15" s="345"/>
      <c r="E15" s="345"/>
      <c r="F15" s="345"/>
      <c r="G15" s="345"/>
      <c r="H15" s="345"/>
      <c r="I15" s="346"/>
      <c r="J15" s="346"/>
    </row>
    <row r="16" spans="2:44" ht="18" customHeight="1">
      <c r="B16" s="345"/>
      <c r="C16" s="345"/>
      <c r="D16" s="345"/>
      <c r="E16" s="345"/>
      <c r="F16" s="345"/>
      <c r="G16" s="345"/>
      <c r="H16" s="345"/>
      <c r="I16" s="346"/>
      <c r="J16" s="346"/>
    </row>
    <row r="17" spans="2:44" ht="18" customHeight="1">
      <c r="B17" s="345"/>
      <c r="C17" s="345"/>
      <c r="D17" s="345"/>
      <c r="E17" s="345"/>
      <c r="F17" s="345"/>
      <c r="G17" s="345"/>
      <c r="H17" s="345"/>
      <c r="I17" s="346"/>
      <c r="J17" s="346"/>
    </row>
    <row r="18" spans="2:44" ht="18" customHeight="1">
      <c r="B18" s="346"/>
      <c r="C18" s="346"/>
      <c r="D18" s="346"/>
      <c r="E18" s="346"/>
      <c r="F18" s="346"/>
      <c r="G18" s="346"/>
      <c r="H18" s="346"/>
      <c r="I18" s="346"/>
      <c r="J18" s="346"/>
    </row>
    <row r="19" spans="2:44" ht="18" customHeight="1">
      <c r="B19" s="345" t="str">
        <f>IF(OR(NOT(ISNUMBER(F5)),F5&lt;=0,NOT(ISNUMBER(D8)),D8&lt;=0,NOT(ISNUMBER(D9)),D9&lt;=0,NOT(ISNUMBER(D10)),D10&lt;=0,NOT(ISNUMBER(D11)),D11&lt;=0),"Please check your figures. The load weight and all of dimensions A, B, C and D must be entered as numbers greater than zero.",IF(OR(NOT(ISNUMBER(D12)),D12&lt;=D9/2,D12&gt;=D9+D10+D11/2),"Please check dimension E (the centre of gravity position across the load). For a valid 8 point lift, it must be MORE than half of B and LESS than (B + C + half of D)",IF(OR(NOT(ISNUMBER(D13)),D13&lt;0,D13&gt;D8),"Please check dimension F (the centre of gravity position across the load). It needs to be between 0 and " &amp; TEXT(D8,"0") &amp; " mm.","")))</f>
        <v/>
      </c>
      <c r="C19" s="345"/>
      <c r="D19" s="345"/>
      <c r="E19" s="345"/>
      <c r="F19" s="345"/>
      <c r="G19" s="345"/>
      <c r="H19" s="345"/>
      <c r="I19" s="345"/>
      <c r="J19" s="346"/>
    </row>
    <row r="20" spans="2:44" ht="18" customHeight="1">
      <c r="B20" s="345"/>
      <c r="C20" s="345"/>
      <c r="D20" s="345"/>
      <c r="E20" s="345"/>
      <c r="F20" s="345"/>
      <c r="G20" s="345"/>
      <c r="H20" s="345"/>
      <c r="I20" s="345"/>
      <c r="J20" s="347"/>
    </row>
    <row r="21" spans="2:44" ht="18" customHeight="1">
      <c r="B21" s="345"/>
      <c r="C21" s="345"/>
      <c r="D21" s="345"/>
      <c r="E21" s="345"/>
      <c r="F21" s="345"/>
      <c r="G21" s="345"/>
      <c r="H21" s="345"/>
      <c r="I21" s="345"/>
      <c r="J21" s="347"/>
    </row>
    <row r="22" spans="2:44" ht="18" customHeight="1">
      <c r="B22" s="345"/>
      <c r="C22" s="345"/>
      <c r="D22" s="345"/>
      <c r="E22" s="345"/>
      <c r="F22" s="345"/>
      <c r="G22" s="345"/>
      <c r="H22" s="345"/>
      <c r="I22" s="345"/>
      <c r="J22" s="347"/>
    </row>
    <row r="23" spans="2:44" ht="18" customHeight="1">
      <c r="B23" s="345" t="str">
        <f>IF(AND($B$19="",ISNUMBER(D13),OR(D13&lt;0.15*D8,D13&gt;0.85*D8)),"Are you sure of dimension F? This results in an extremely offset C of G!","")</f>
        <v/>
      </c>
      <c r="C23" s="345"/>
      <c r="D23" s="345"/>
      <c r="E23" s="345"/>
      <c r="F23" s="345"/>
      <c r="G23" s="345"/>
      <c r="H23" s="345"/>
      <c r="I23" s="345"/>
      <c r="J23" s="347"/>
      <c r="K23" s="290" t="s">
        <v>451</v>
      </c>
      <c r="L23" s="291"/>
      <c r="M23" s="291"/>
      <c r="N23" s="292"/>
      <c r="O23" s="284"/>
      <c r="P23" s="284"/>
      <c r="Q23" s="284"/>
      <c r="R23" s="284"/>
      <c r="S23" s="284"/>
      <c r="T23" s="284"/>
      <c r="U23" s="284"/>
      <c r="V23" s="181"/>
      <c r="W23" s="290" t="s">
        <v>452</v>
      </c>
      <c r="X23" s="291"/>
      <c r="Y23" s="291"/>
      <c r="Z23" s="292"/>
      <c r="AA23" s="284"/>
      <c r="AB23" s="284"/>
      <c r="AC23" s="284"/>
      <c r="AD23" s="284"/>
      <c r="AE23" s="290" t="s">
        <v>453</v>
      </c>
      <c r="AF23" s="291"/>
      <c r="AG23" s="291"/>
      <c r="AH23" s="292"/>
      <c r="AI23" s="284"/>
      <c r="AJ23" s="284"/>
      <c r="AK23" s="284"/>
      <c r="AL23" s="284"/>
      <c r="AM23" s="284"/>
      <c r="AN23" s="284"/>
      <c r="AO23" s="290" t="s">
        <v>454</v>
      </c>
      <c r="AP23" s="291"/>
      <c r="AQ23" s="291"/>
      <c r="AR23" s="292"/>
    </row>
    <row r="24" spans="2:44" ht="18" customHeight="1">
      <c r="B24" s="345"/>
      <c r="C24" s="345"/>
      <c r="D24" s="345"/>
      <c r="E24" s="345"/>
      <c r="F24" s="345"/>
      <c r="G24" s="345"/>
      <c r="H24" s="345"/>
      <c r="I24" s="345"/>
      <c r="J24" s="347"/>
      <c r="K24" s="343">
        <f>IF($B$19&lt;&gt;"","CHECK",$F$5*(($D$9+$D$10+$D$11/2)-$D$12)/(($D$9+$D$10+$D$11/2)-$D$9/2)*($D$8-$D$13)/$D$8/2)</f>
        <v>5537.2585123101098</v>
      </c>
      <c r="L24" s="104"/>
      <c r="M24" s="104"/>
      <c r="N24" s="284" t="s">
        <v>49</v>
      </c>
      <c r="O24" s="284"/>
      <c r="P24" s="284"/>
      <c r="Q24" s="284"/>
      <c r="R24" s="284"/>
      <c r="S24" s="284"/>
      <c r="T24" s="284"/>
      <c r="U24" s="284"/>
      <c r="V24" s="181"/>
      <c r="W24" s="343">
        <f>IF($B$19&lt;&gt;"","CHECK",$F$5*(($D$9+$D$10+$D$11/2)-$D$12)/(($D$9+$D$10+$D$11/2)-$D$9/2)*($D$8-$D$13)/$D$8/2)</f>
        <v>5537.2585123101098</v>
      </c>
      <c r="X24" s="104"/>
      <c r="Y24" s="104"/>
      <c r="Z24" s="284" t="s">
        <v>49</v>
      </c>
      <c r="AA24" s="284"/>
      <c r="AB24" s="284"/>
      <c r="AC24" s="284"/>
      <c r="AD24" s="284"/>
      <c r="AE24" s="343">
        <f>IF($B$19&lt;&gt;"","CHECK",$F$5*($D$12-$D$9/2)/(($D$9+$D$10+$D$11/2)-$D$9/2)*($D$8-$D$13)/$D$8/2)</f>
        <v>5841.2414876898902</v>
      </c>
      <c r="AF24" s="104"/>
      <c r="AG24" s="104"/>
      <c r="AH24" s="284" t="s">
        <v>49</v>
      </c>
      <c r="AI24" s="284"/>
      <c r="AJ24" s="284"/>
      <c r="AK24" s="284"/>
      <c r="AL24" s="284"/>
      <c r="AM24" s="284"/>
      <c r="AN24" s="284"/>
      <c r="AO24" s="343">
        <f>IF($B$19&lt;&gt;"","CHECK",$F$5*($D$12-$D$9/2)/(($D$9+$D$10+$D$11/2)-$D$9/2)*($D$8-$D$13)/$D$8/2)</f>
        <v>5841.2414876898902</v>
      </c>
      <c r="AP24" s="104"/>
      <c r="AQ24" s="104"/>
      <c r="AR24" s="284" t="s">
        <v>49</v>
      </c>
    </row>
    <row r="25" spans="2:44" ht="18" customHeight="1">
      <c r="B25" s="347"/>
      <c r="C25" s="347"/>
      <c r="D25" s="347"/>
      <c r="E25" s="347"/>
      <c r="F25" s="347"/>
      <c r="G25" s="347"/>
      <c r="H25" s="347"/>
      <c r="I25" s="347"/>
    </row>
    <row r="26" spans="2:44" ht="20.100000000000001" customHeight="1">
      <c r="B26" s="347"/>
      <c r="C26" s="347"/>
      <c r="D26" s="347"/>
      <c r="E26" s="347"/>
      <c r="F26" s="347"/>
      <c r="G26" s="347"/>
      <c r="H26" s="347"/>
      <c r="I26" s="347"/>
      <c r="K26" s="348" t="s">
        <v>455</v>
      </c>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L26" s="348"/>
      <c r="AM26" s="348"/>
      <c r="AN26" s="348"/>
      <c r="AO26" s="348"/>
      <c r="AP26" s="348"/>
      <c r="AQ26" s="348"/>
    </row>
    <row r="27" spans="2:44" ht="32.1" customHeight="1">
      <c r="K27" s="349" t="s">
        <v>456</v>
      </c>
      <c r="L27" s="349"/>
      <c r="M27" s="349"/>
      <c r="N27" s="349"/>
      <c r="O27" s="349"/>
      <c r="P27" s="349"/>
      <c r="Q27" s="349"/>
      <c r="R27" s="349"/>
      <c r="S27" s="349"/>
      <c r="T27" s="349"/>
      <c r="U27" s="349"/>
      <c r="V27" s="349"/>
      <c r="W27" s="349"/>
      <c r="X27" s="349"/>
      <c r="Y27" s="349"/>
      <c r="Z27" s="349"/>
      <c r="AA27" s="349"/>
      <c r="AB27" s="349"/>
      <c r="AC27" s="349"/>
      <c r="AD27" s="349"/>
      <c r="AE27" s="349"/>
      <c r="AF27" s="349"/>
      <c r="AG27" s="349"/>
      <c r="AH27" s="349"/>
      <c r="AI27" s="349"/>
      <c r="AJ27" s="349"/>
      <c r="AK27" s="349"/>
      <c r="AL27" s="349"/>
      <c r="AM27" s="349"/>
      <c r="AN27" s="349"/>
      <c r="AO27" s="349"/>
      <c r="AP27" s="349"/>
      <c r="AQ27" s="349"/>
    </row>
    <row r="28" spans="2:44" ht="3.95" customHeight="1">
      <c r="K28" s="350"/>
      <c r="L28" s="350"/>
      <c r="M28" s="350"/>
      <c r="N28" s="350"/>
      <c r="O28" s="350"/>
      <c r="P28" s="350"/>
      <c r="Q28" s="350"/>
      <c r="R28" s="350"/>
      <c r="S28" s="350"/>
      <c r="T28" s="350"/>
      <c r="U28" s="350"/>
      <c r="V28" s="350"/>
      <c r="W28" s="350"/>
      <c r="X28" s="350"/>
      <c r="Y28" s="350"/>
      <c r="Z28" s="350"/>
      <c r="AA28" s="350"/>
      <c r="AB28" s="350"/>
      <c r="AC28" s="350"/>
      <c r="AD28" s="350"/>
      <c r="AE28" s="350"/>
      <c r="AF28" s="350"/>
      <c r="AG28" s="350"/>
      <c r="AH28" s="350"/>
      <c r="AI28" s="350"/>
      <c r="AJ28" s="350"/>
      <c r="AK28" s="350"/>
      <c r="AL28" s="350"/>
      <c r="AM28" s="350"/>
      <c r="AN28" s="350"/>
      <c r="AO28" s="350"/>
      <c r="AP28" s="350"/>
      <c r="AQ28" s="350"/>
    </row>
    <row r="29" spans="2:44" ht="45.75" customHeight="1">
      <c r="K29" s="349" t="s">
        <v>457</v>
      </c>
      <c r="L29" s="349"/>
      <c r="M29" s="349"/>
      <c r="N29" s="349"/>
      <c r="O29" s="349"/>
      <c r="P29" s="349"/>
      <c r="Q29" s="349"/>
      <c r="R29" s="349"/>
      <c r="S29" s="349"/>
      <c r="T29" s="349"/>
      <c r="U29" s="349"/>
      <c r="V29" s="349"/>
      <c r="W29" s="349"/>
      <c r="X29" s="349"/>
      <c r="Y29" s="349"/>
      <c r="Z29" s="349"/>
      <c r="AA29" s="349"/>
      <c r="AB29" s="349"/>
      <c r="AC29" s="349"/>
      <c r="AD29" s="349"/>
      <c r="AE29" s="349"/>
      <c r="AF29" s="349"/>
      <c r="AG29" s="349"/>
      <c r="AH29" s="349"/>
      <c r="AI29" s="349"/>
      <c r="AJ29" s="349"/>
      <c r="AK29" s="349"/>
      <c r="AL29" s="349"/>
      <c r="AM29" s="349"/>
      <c r="AN29" s="349"/>
      <c r="AO29" s="349"/>
      <c r="AP29" s="349"/>
      <c r="AQ29" s="349"/>
    </row>
    <row r="30" spans="2:44" ht="3.95" customHeight="1">
      <c r="K30" s="350"/>
      <c r="L30" s="350"/>
      <c r="M30" s="350"/>
      <c r="N30" s="350"/>
      <c r="O30" s="350"/>
      <c r="P30" s="350"/>
      <c r="Q30" s="350"/>
      <c r="R30" s="350"/>
      <c r="S30" s="350"/>
      <c r="T30" s="350"/>
      <c r="U30" s="350"/>
      <c r="V30" s="350"/>
      <c r="W30" s="350"/>
      <c r="X30" s="350"/>
      <c r="Y30" s="350"/>
      <c r="Z30" s="350"/>
      <c r="AA30" s="350"/>
      <c r="AB30" s="350"/>
      <c r="AC30" s="350"/>
      <c r="AD30" s="350"/>
      <c r="AE30" s="350"/>
      <c r="AF30" s="350"/>
      <c r="AG30" s="350"/>
      <c r="AH30" s="350"/>
      <c r="AI30" s="350"/>
      <c r="AJ30" s="350"/>
      <c r="AK30" s="350"/>
      <c r="AL30" s="350"/>
      <c r="AM30" s="350"/>
      <c r="AN30" s="350"/>
      <c r="AO30" s="350"/>
      <c r="AP30" s="350"/>
      <c r="AQ30" s="350"/>
    </row>
    <row r="31" spans="2:44" ht="32.1" customHeight="1">
      <c r="K31" s="349" t="s">
        <v>458</v>
      </c>
      <c r="L31" s="349"/>
      <c r="M31" s="349"/>
      <c r="N31" s="349"/>
      <c r="O31" s="349"/>
      <c r="P31" s="349"/>
      <c r="Q31" s="349"/>
      <c r="R31" s="349"/>
      <c r="S31" s="349"/>
      <c r="T31" s="349"/>
      <c r="U31" s="349"/>
      <c r="V31" s="349"/>
      <c r="W31" s="349"/>
      <c r="X31" s="349"/>
      <c r="Y31" s="349"/>
      <c r="Z31" s="349"/>
      <c r="AA31" s="349"/>
      <c r="AB31" s="349"/>
      <c r="AC31" s="349"/>
      <c r="AD31" s="349"/>
      <c r="AE31" s="349"/>
      <c r="AF31" s="349"/>
      <c r="AG31" s="349"/>
      <c r="AH31" s="349"/>
      <c r="AI31" s="349"/>
      <c r="AJ31" s="349"/>
      <c r="AK31" s="349"/>
      <c r="AL31" s="349"/>
      <c r="AM31" s="349"/>
      <c r="AN31" s="349"/>
      <c r="AO31" s="349"/>
      <c r="AP31" s="349"/>
      <c r="AQ31" s="349"/>
    </row>
    <row r="32" spans="2:44" ht="3.95" customHeight="1">
      <c r="K32" s="350"/>
      <c r="L32" s="350"/>
      <c r="M32" s="350"/>
      <c r="N32" s="350"/>
      <c r="O32" s="350"/>
      <c r="P32" s="350"/>
      <c r="Q32" s="350"/>
      <c r="R32" s="350"/>
      <c r="S32" s="350"/>
      <c r="T32" s="350"/>
      <c r="U32" s="350"/>
      <c r="V32" s="350"/>
      <c r="W32" s="350"/>
      <c r="X32" s="350"/>
      <c r="Y32" s="350"/>
      <c r="Z32" s="350"/>
      <c r="AA32" s="350"/>
      <c r="AB32" s="350"/>
      <c r="AC32" s="350"/>
      <c r="AD32" s="350"/>
      <c r="AE32" s="350"/>
      <c r="AF32" s="350"/>
      <c r="AG32" s="350"/>
      <c r="AH32" s="350"/>
      <c r="AI32" s="350"/>
      <c r="AJ32" s="350"/>
      <c r="AK32" s="350"/>
      <c r="AL32" s="350"/>
      <c r="AM32" s="350"/>
      <c r="AN32" s="350"/>
      <c r="AO32" s="350"/>
      <c r="AP32" s="350"/>
      <c r="AQ32" s="350"/>
    </row>
    <row r="33" spans="2:43" ht="32.1" customHeight="1">
      <c r="K33" s="349" t="s">
        <v>459</v>
      </c>
      <c r="L33" s="349"/>
      <c r="M33" s="349"/>
      <c r="N33" s="349"/>
      <c r="O33" s="349"/>
      <c r="P33" s="349"/>
      <c r="Q33" s="349"/>
      <c r="R33" s="349"/>
      <c r="S33" s="349"/>
      <c r="T33" s="349"/>
      <c r="U33" s="349"/>
      <c r="V33" s="349"/>
      <c r="W33" s="349"/>
      <c r="X33" s="349"/>
      <c r="Y33" s="349"/>
      <c r="Z33" s="349"/>
      <c r="AA33" s="349"/>
      <c r="AB33" s="349"/>
      <c r="AC33" s="349"/>
      <c r="AD33" s="349"/>
      <c r="AE33" s="349"/>
      <c r="AF33" s="349"/>
      <c r="AG33" s="349"/>
      <c r="AH33" s="349"/>
      <c r="AI33" s="349"/>
      <c r="AJ33" s="349"/>
      <c r="AK33" s="349"/>
      <c r="AL33" s="349"/>
      <c r="AM33" s="349"/>
      <c r="AN33" s="349"/>
      <c r="AO33" s="349"/>
      <c r="AP33" s="349"/>
      <c r="AQ33" s="349"/>
    </row>
    <row r="34" spans="2:43" ht="3.95" customHeight="1">
      <c r="K34" s="350"/>
      <c r="L34" s="350"/>
      <c r="M34" s="350"/>
      <c r="N34" s="350"/>
      <c r="O34" s="350"/>
      <c r="P34" s="350"/>
      <c r="Q34" s="350"/>
      <c r="R34" s="350"/>
      <c r="S34" s="350"/>
      <c r="T34" s="350"/>
      <c r="U34" s="350"/>
      <c r="V34" s="350"/>
      <c r="W34" s="350"/>
      <c r="X34" s="350"/>
      <c r="Y34" s="350"/>
      <c r="Z34" s="350"/>
      <c r="AA34" s="350"/>
      <c r="AB34" s="350"/>
      <c r="AC34" s="350"/>
      <c r="AD34" s="350"/>
      <c r="AE34" s="350"/>
      <c r="AF34" s="350"/>
      <c r="AG34" s="350"/>
      <c r="AH34" s="350"/>
      <c r="AI34" s="350"/>
      <c r="AJ34" s="350"/>
      <c r="AK34" s="350"/>
      <c r="AL34" s="350"/>
      <c r="AM34" s="350"/>
      <c r="AN34" s="350"/>
      <c r="AO34" s="350"/>
      <c r="AP34" s="350"/>
      <c r="AQ34" s="350"/>
    </row>
    <row r="35" spans="2:43" ht="32.1" customHeight="1">
      <c r="K35" s="349" t="s">
        <v>460</v>
      </c>
      <c r="L35" s="349"/>
      <c r="M35" s="349"/>
      <c r="N35" s="349"/>
      <c r="O35" s="349"/>
      <c r="P35" s="349"/>
      <c r="Q35" s="349"/>
      <c r="R35" s="349"/>
      <c r="S35" s="349"/>
      <c r="T35" s="349"/>
      <c r="U35" s="349"/>
      <c r="V35" s="349"/>
      <c r="W35" s="349"/>
      <c r="X35" s="349"/>
      <c r="Y35" s="349"/>
      <c r="Z35" s="349"/>
      <c r="AA35" s="349"/>
      <c r="AB35" s="349"/>
      <c r="AC35" s="349"/>
      <c r="AD35" s="349"/>
      <c r="AE35" s="349"/>
      <c r="AF35" s="349"/>
      <c r="AG35" s="349"/>
      <c r="AH35" s="349"/>
      <c r="AI35" s="349"/>
      <c r="AJ35" s="349"/>
      <c r="AK35" s="349"/>
      <c r="AL35" s="349"/>
      <c r="AM35" s="349"/>
      <c r="AN35" s="349"/>
      <c r="AO35" s="349"/>
      <c r="AP35" s="349"/>
      <c r="AQ35" s="349"/>
    </row>
    <row r="36" spans="2:43" ht="18" customHeight="1">
      <c r="B36" s="572" t="s">
        <v>809</v>
      </c>
    </row>
    <row r="37" spans="2:43" ht="18" customHeight="1">
      <c r="B37" s="572" t="s">
        <v>810</v>
      </c>
    </row>
    <row r="38" spans="2:43" ht="18" customHeight="1">
      <c r="B38" s="572" t="s">
        <v>811</v>
      </c>
    </row>
    <row r="39" spans="2:43" ht="18" customHeight="1">
      <c r="B39" s="573" t="s">
        <v>812</v>
      </c>
    </row>
    <row r="40" spans="2:43" ht="18" customHeight="1">
      <c r="B40" s="573" t="s">
        <v>813</v>
      </c>
    </row>
  </sheetData>
  <sheetProtection sheet="1" objects="1" scenarios="1" selectLockedCells="1"/>
  <mergeCells count="42">
    <mergeCell ref="K35:AQ35"/>
    <mergeCell ref="B23:I24"/>
    <mergeCell ref="K23:N23"/>
    <mergeCell ref="W23:Z23"/>
    <mergeCell ref="AE23:AH23"/>
    <mergeCell ref="AO23:AR23"/>
    <mergeCell ref="K24:M24"/>
    <mergeCell ref="W24:Y24"/>
    <mergeCell ref="AE24:AG24"/>
    <mergeCell ref="AO24:AQ24"/>
    <mergeCell ref="K26:AQ26"/>
    <mergeCell ref="K27:AQ27"/>
    <mergeCell ref="K29:AQ29"/>
    <mergeCell ref="K31:AQ31"/>
    <mergeCell ref="K33:AQ33"/>
    <mergeCell ref="B19:I22"/>
    <mergeCell ref="B9:C9"/>
    <mergeCell ref="D9:E9"/>
    <mergeCell ref="B10:C10"/>
    <mergeCell ref="D10:E10"/>
    <mergeCell ref="B11:C11"/>
    <mergeCell ref="D11:E11"/>
    <mergeCell ref="B12:C12"/>
    <mergeCell ref="D12:E12"/>
    <mergeCell ref="B13:C13"/>
    <mergeCell ref="D13:E13"/>
    <mergeCell ref="B15:H17"/>
    <mergeCell ref="B8:C8"/>
    <mergeCell ref="D8:E8"/>
    <mergeCell ref="AP2:AR2"/>
    <mergeCell ref="B5:E5"/>
    <mergeCell ref="F5:H5"/>
    <mergeCell ref="K5:N5"/>
    <mergeCell ref="W5:Z5"/>
    <mergeCell ref="AE5:AH5"/>
    <mergeCell ref="AO5:AR5"/>
    <mergeCell ref="K6:M6"/>
    <mergeCell ref="W6:Y6"/>
    <mergeCell ref="AE6:AG6"/>
    <mergeCell ref="AO6:AQ6"/>
    <mergeCell ref="B7:E7"/>
    <mergeCell ref="W2:Y2"/>
  </mergeCells>
  <conditionalFormatting sqref="B19:I22">
    <cfRule type="expression" dxfId="46" priority="13">
      <formula>LEN($B$19)&gt;0</formula>
    </cfRule>
  </conditionalFormatting>
  <conditionalFormatting sqref="B23:I24">
    <cfRule type="expression" dxfId="45" priority="14">
      <formula>LEN($B$23)&gt;0</formula>
    </cfRule>
  </conditionalFormatting>
  <conditionalFormatting sqref="D8:D11">
    <cfRule type="expression" dxfId="44" priority="2">
      <formula>OR(NOT(ISNUMBER(D8)),D8&lt;=0)</formula>
    </cfRule>
  </conditionalFormatting>
  <conditionalFormatting sqref="D13">
    <cfRule type="expression" dxfId="42" priority="4">
      <formula>OR(NOT(ISNUMBER(D13)),D13&lt;0,D13&gt;D8)</formula>
    </cfRule>
  </conditionalFormatting>
  <conditionalFormatting sqref="F5">
    <cfRule type="expression" dxfId="41" priority="1">
      <formula>OR(NOT(ISNUMBER(F5)),F5&lt;=0)</formula>
    </cfRule>
  </conditionalFormatting>
  <conditionalFormatting sqref="K6">
    <cfRule type="containsText" dxfId="40" priority="5" operator="containsText" text="CHECK">
      <formula>NOT(ISERROR(SEARCH("CHECK",K6)))</formula>
    </cfRule>
  </conditionalFormatting>
  <conditionalFormatting sqref="K24">
    <cfRule type="containsText" dxfId="39" priority="9" operator="containsText" text="CHECK">
      <formula>NOT(ISERROR(SEARCH("CHECK",K24)))</formula>
    </cfRule>
  </conditionalFormatting>
  <conditionalFormatting sqref="W6">
    <cfRule type="containsText" dxfId="38" priority="6" operator="containsText" text="CHECK">
      <formula>NOT(ISERROR(SEARCH("CHECK",W6)))</formula>
    </cfRule>
  </conditionalFormatting>
  <conditionalFormatting sqref="W24">
    <cfRule type="containsText" dxfId="37" priority="10" operator="containsText" text="CHECK">
      <formula>NOT(ISERROR(SEARCH("CHECK",W24)))</formula>
    </cfRule>
  </conditionalFormatting>
  <conditionalFormatting sqref="AE6">
    <cfRule type="containsText" dxfId="36" priority="7" operator="containsText" text="CHECK">
      <formula>NOT(ISERROR(SEARCH("CHECK",AE6)))</formula>
    </cfRule>
  </conditionalFormatting>
  <conditionalFormatting sqref="AE24">
    <cfRule type="containsText" dxfId="35" priority="11" operator="containsText" text="CHECK">
      <formula>NOT(ISERROR(SEARCH("CHECK",AE24)))</formula>
    </cfRule>
  </conditionalFormatting>
  <conditionalFormatting sqref="AO6">
    <cfRule type="containsText" dxfId="34" priority="8" operator="containsText" text="CHECK">
      <formula>NOT(ISERROR(SEARCH("CHECK",AO6)))</formula>
    </cfRule>
  </conditionalFormatting>
  <conditionalFormatting sqref="AO24">
    <cfRule type="containsText" dxfId="33" priority="12" operator="containsText" text="CHECK">
      <formula>NOT(ISERROR(SEARCH("CHECK",AO24)))</formula>
    </cfRule>
  </conditionalFormatting>
  <conditionalFormatting sqref="D12">
    <cfRule type="expression" dxfId="32" priority="15">
      <formula>OR(NOT(ISNUMBER(D12)),D12&lt;=D9/2,D12&gt;=D9+D10+D11/2)</formula>
    </cfRule>
  </conditionalFormatting>
  <hyperlinks>
    <hyperlink ref="W2" location="Home!A1" display="Home" xr:uid="{5F03B211-27B6-44D8-8540-A876E50A2D84}"/>
    <hyperlink ref="B39" r:id="rId1" xr:uid="{93B889F3-6BC7-48DB-90FC-B3F27E1F03B8}"/>
    <hyperlink ref="B40" r:id="rId2" xr:uid="{3176F006-0572-4A7C-AB64-57069AEB313E}"/>
  </hyperlinks>
  <pageMargins left="0.25" right="0.25" top="0.75" bottom="0.75" header="0.3" footer="0.3"/>
  <pageSetup paperSize="9" scale="77" orientation="landscape" horizontalDpi="300" verticalDpi="300" r:id="rId3"/>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6A653-DEFC-4FB2-81E0-42EF23CF6B3F}">
  <sheetPr codeName="Sheet25">
    <pageSetUpPr fitToPage="1"/>
  </sheetPr>
  <dimension ref="B2:AA46"/>
  <sheetViews>
    <sheetView showGridLines="0" showRowColHeaders="0" zoomScale="90" zoomScaleNormal="90" workbookViewId="0">
      <selection activeCell="N13" sqref="N13"/>
      <extLst>
        <ext xmlns:xlsdti="http://schemas.microsoft.com/office/spreadsheetml/2023/showDataTypeIcons" uri="{77bfe23e-c014-4d31-8a63-9c772dbf06b6}">
          <xlsdti:showDataTypeIcons visible="0"/>
        </ext>
      </extLst>
    </sheetView>
  </sheetViews>
  <sheetFormatPr defaultRowHeight="18" customHeight="1"/>
  <cols>
    <col min="1" max="1" width="5.7109375" style="175" customWidth="1"/>
    <col min="2" max="2" width="24" style="175" customWidth="1"/>
    <col min="3" max="3" width="9.140625" style="88"/>
    <col min="4" max="6" width="9.140625" style="175"/>
    <col min="7" max="13" width="9.140625" style="175" customWidth="1"/>
    <col min="14" max="14" width="4.7109375" style="175" customWidth="1"/>
    <col min="15" max="15" width="13.7109375" style="175" customWidth="1"/>
    <col min="16" max="16" width="5.7109375" style="175" customWidth="1"/>
    <col min="17" max="17" width="13.7109375" style="175" customWidth="1"/>
    <col min="18" max="18" width="4.7109375" style="175" customWidth="1"/>
    <col min="19" max="19" width="13.7109375" style="175" customWidth="1"/>
    <col min="20" max="20" width="4.7109375" style="175" customWidth="1"/>
    <col min="21" max="21" width="13.7109375" style="88" customWidth="1"/>
    <col min="22" max="22" width="4.7109375" style="175" customWidth="1"/>
    <col min="23" max="23" width="13.7109375" style="175" customWidth="1"/>
    <col min="24" max="24" width="4" style="175" customWidth="1"/>
    <col min="25" max="25" width="27.85546875" style="175" hidden="1" customWidth="1"/>
    <col min="26" max="26" width="18.140625" style="175" hidden="1" customWidth="1"/>
    <col min="27" max="27" width="9.140625" style="175" hidden="1" customWidth="1"/>
    <col min="28" max="16384" width="9.140625" style="175"/>
  </cols>
  <sheetData>
    <row r="2" spans="2:26" ht="18" customHeight="1">
      <c r="B2" s="66" t="s">
        <v>461</v>
      </c>
      <c r="G2" s="342" t="s">
        <v>462</v>
      </c>
      <c r="J2" s="351" t="s">
        <v>670</v>
      </c>
      <c r="W2" s="592" t="s">
        <v>298</v>
      </c>
    </row>
    <row r="3" spans="2:26" ht="18" customHeight="1">
      <c r="B3" s="66"/>
      <c r="H3" s="308"/>
      <c r="I3" s="308"/>
      <c r="J3" s="308"/>
      <c r="K3" s="308"/>
      <c r="L3" s="308"/>
      <c r="M3" s="308"/>
      <c r="N3" s="308"/>
      <c r="O3" s="308"/>
      <c r="P3" s="308"/>
      <c r="W3" s="1"/>
    </row>
    <row r="4" spans="2:26" ht="18" customHeight="1">
      <c r="F4" s="294" t="s">
        <v>463</v>
      </c>
      <c r="G4" s="295"/>
      <c r="H4" s="295"/>
      <c r="I4" s="295"/>
      <c r="J4" s="295"/>
      <c r="K4" s="295"/>
      <c r="L4" s="296"/>
      <c r="M4" s="308"/>
      <c r="N4" s="308"/>
      <c r="O4" s="308"/>
      <c r="P4" s="308"/>
      <c r="W4" s="1"/>
      <c r="Y4" s="175" t="s">
        <v>464</v>
      </c>
    </row>
    <row r="5" spans="2:26" s="283" customFormat="1" ht="18" customHeight="1">
      <c r="B5" s="283" t="s">
        <v>438</v>
      </c>
      <c r="C5" s="375">
        <f>'Load splits - 8 pt'!F5</f>
        <v>35000</v>
      </c>
      <c r="D5" s="283" t="s">
        <v>49</v>
      </c>
      <c r="F5" s="297"/>
      <c r="G5" s="298"/>
      <c r="H5" s="298"/>
      <c r="I5" s="298"/>
      <c r="J5" s="298"/>
      <c r="K5" s="298"/>
      <c r="L5" s="299"/>
      <c r="N5" s="175"/>
      <c r="O5" s="181" t="s">
        <v>465</v>
      </c>
      <c r="P5" s="175"/>
      <c r="Q5" s="181" t="s">
        <v>466</v>
      </c>
      <c r="R5" s="284"/>
      <c r="S5" s="181" t="s">
        <v>467</v>
      </c>
      <c r="T5" s="284"/>
      <c r="U5" s="181" t="s">
        <v>468</v>
      </c>
      <c r="V5" s="181"/>
      <c r="W5" s="181" t="s">
        <v>469</v>
      </c>
      <c r="Y5" s="283" t="s">
        <v>470</v>
      </c>
      <c r="Z5" s="283">
        <f>'Load splits - 8 pt'!D8</f>
        <v>5000</v>
      </c>
    </row>
    <row r="6" spans="2:26" s="283" customFormat="1" ht="18" customHeight="1">
      <c r="C6" s="303"/>
      <c r="F6" s="300"/>
      <c r="G6" s="301"/>
      <c r="H6" s="301"/>
      <c r="I6" s="301"/>
      <c r="J6" s="301"/>
      <c r="K6" s="301"/>
      <c r="L6" s="302"/>
      <c r="O6" s="352" t="s">
        <v>1</v>
      </c>
      <c r="Q6" s="352" t="s">
        <v>49</v>
      </c>
      <c r="S6" s="352" t="s">
        <v>49</v>
      </c>
      <c r="U6" s="352" t="s">
        <v>381</v>
      </c>
      <c r="V6" s="352"/>
      <c r="W6" s="352" t="s">
        <v>471</v>
      </c>
      <c r="Y6" s="283" t="s">
        <v>445</v>
      </c>
      <c r="Z6" s="283">
        <f>'Load splits - 8 pt'!D9</f>
        <v>7200</v>
      </c>
    </row>
    <row r="7" spans="2:26" s="283" customFormat="1" ht="18" customHeight="1">
      <c r="B7" s="283" t="s">
        <v>472</v>
      </c>
      <c r="C7" s="303"/>
      <c r="N7" s="181">
        <v>1</v>
      </c>
      <c r="O7" s="353">
        <f>IF($Z$24,SQRT(Z21^2+Z23^2),"CHECK INPUTS")</f>
        <v>10234.346998979894</v>
      </c>
      <c r="P7" s="181"/>
      <c r="Q7" s="353">
        <f>IF($Z$24,(SUM(C8:C11)+C17+C16/2)*IF($P$26="",1,$P$26),"CHECK INPUTS")</f>
        <v>19482.477737035097</v>
      </c>
      <c r="S7" s="353">
        <f>IF($Z$24,Q7*O7/Z23,"CHECK INPUTS")</f>
        <v>22496.427531916208</v>
      </c>
      <c r="U7" s="9">
        <v>50</v>
      </c>
      <c r="W7" s="354">
        <f>IF(ISTEXT(S7),"CHECK INPUTS",IFERROR(IF(AND(ISNUMBER(U7),U7&gt;0),S7/(U7*1000)*100,"NOT ASSESSED"),"NOT ASSESSED"))</f>
        <v>44.992855063832415</v>
      </c>
      <c r="Y7" s="283" t="s">
        <v>446</v>
      </c>
      <c r="Z7" s="283">
        <f>'Load splits - 8 pt'!D10</f>
        <v>2545</v>
      </c>
    </row>
    <row r="8" spans="2:26" s="283" customFormat="1" ht="18" customHeight="1">
      <c r="B8" s="283" t="s">
        <v>473</v>
      </c>
      <c r="C8" s="375">
        <f>'Load splits - 8 pt'!K6</f>
        <v>2978.9803562074385</v>
      </c>
      <c r="D8" s="283" t="s">
        <v>49</v>
      </c>
      <c r="N8" s="181">
        <v>2</v>
      </c>
      <c r="O8" s="353">
        <f>IF($Z$24,SQRT(Z22^2+Z23^2),"CHECK INPUTS")</f>
        <v>10119.208887345383</v>
      </c>
      <c r="P8" s="181"/>
      <c r="Q8" s="353">
        <f>IF($Z$24,(SUM(C12:C15)+C18+C16/2)*IF($P$26="",1,$P$26),"CHECK INPUTS")</f>
        <v>20417.522262964903</v>
      </c>
      <c r="S8" s="353">
        <f>IF($Z$24,Q8*O8/Z23,"CHECK INPUTS")</f>
        <v>23310.88862062871</v>
      </c>
      <c r="U8" s="9">
        <v>50</v>
      </c>
      <c r="W8" s="354">
        <f>IF(ISTEXT(S8),"CHECK INPUTS",IFERROR(IF(AND(ISNUMBER(U8),U8&gt;0),S8/(U8*1000)*100,"NOT ASSESSED"),"NOT ASSESSED"))</f>
        <v>46.621777241257419</v>
      </c>
      <c r="Y8" s="283" t="s">
        <v>447</v>
      </c>
      <c r="Z8" s="283">
        <f>'Load splits - 8 pt'!D11</f>
        <v>6800</v>
      </c>
    </row>
    <row r="9" spans="2:26" s="283" customFormat="1" ht="18" customHeight="1">
      <c r="B9" s="283" t="s">
        <v>474</v>
      </c>
      <c r="C9" s="376">
        <f>'Load splits - 8 pt'!W6</f>
        <v>2978.9803562074385</v>
      </c>
      <c r="D9" s="283" t="s">
        <v>49</v>
      </c>
      <c r="N9" s="88"/>
      <c r="P9" s="181"/>
      <c r="Q9" s="88"/>
      <c r="U9" s="88"/>
      <c r="W9" s="88"/>
      <c r="Y9" s="283" t="s">
        <v>475</v>
      </c>
      <c r="Z9" s="283">
        <f>(C34-C33)/2</f>
        <v>227.5</v>
      </c>
    </row>
    <row r="10" spans="2:26" s="283" customFormat="1" ht="18" customHeight="1">
      <c r="B10" s="283" t="s">
        <v>476</v>
      </c>
      <c r="C10" s="375">
        <f>'Load splits - 8 pt'!K24</f>
        <v>5537.2585123101098</v>
      </c>
      <c r="D10" s="283" t="s">
        <v>49</v>
      </c>
      <c r="N10" s="181">
        <v>3</v>
      </c>
      <c r="O10" s="353">
        <f>IF($Z$24,SQRT(Z16^2+Z17^2),"CHECK INPUTS")</f>
        <v>4999.9999999999991</v>
      </c>
      <c r="P10" s="181"/>
      <c r="Q10" s="353">
        <f>IF($Z$24,(C8+C9+C17/2)*IF($P$26="",1,$P$26),"CHECK INPUTS")</f>
        <v>6557.960712414877</v>
      </c>
      <c r="S10" s="353">
        <f>IF($Z$24,Q10*O10/Z17,"CHECK INPUTS")</f>
        <v>7572.4807652954387</v>
      </c>
      <c r="U10" s="9">
        <v>30</v>
      </c>
      <c r="W10" s="354">
        <f>IF(ISTEXT(S10),"CHECK INPUTS",IFERROR(IF(AND(ISNUMBER(U10),U10&gt;0),S10/(U10*1000)*100,"NOT ASSESSED"),"NOT ASSESSED"))</f>
        <v>25.241602550984794</v>
      </c>
      <c r="Y10" s="283" t="s">
        <v>477</v>
      </c>
      <c r="Z10" s="283">
        <f>Z6/2-Z9</f>
        <v>3372.5</v>
      </c>
    </row>
    <row r="11" spans="2:26" ht="18" customHeight="1">
      <c r="B11" s="283" t="s">
        <v>478</v>
      </c>
      <c r="C11" s="375">
        <f>'Load splits - 8 pt'!W24</f>
        <v>5537.2585123101098</v>
      </c>
      <c r="D11" s="283" t="s">
        <v>49</v>
      </c>
      <c r="E11" s="283"/>
      <c r="F11" s="283"/>
      <c r="G11" s="283"/>
      <c r="H11" s="283"/>
      <c r="I11" s="283"/>
      <c r="J11" s="283"/>
      <c r="K11" s="283"/>
      <c r="L11" s="283"/>
      <c r="N11" s="181">
        <v>4</v>
      </c>
      <c r="O11" s="353">
        <f>IF($Z$24,SQRT(Z16^2+Z17^2),"CHECK INPUTS")</f>
        <v>4999.9999999999991</v>
      </c>
      <c r="P11" s="181"/>
      <c r="Q11" s="353">
        <f>IF($Z$24,(C10+C11+C17/2)*IF($P$26="",1,$P$26),"CHECK INPUTS")</f>
        <v>11674.51702462022</v>
      </c>
      <c r="R11" s="283"/>
      <c r="S11" s="353">
        <f>IF($Z$24,Q11*O11/Z17,"CHECK INPUTS")</f>
        <v>13480.571093646706</v>
      </c>
      <c r="T11" s="283"/>
      <c r="U11" s="9">
        <v>30</v>
      </c>
      <c r="V11" s="283"/>
      <c r="W11" s="354">
        <f>IF(ISTEXT(S11),"CHECK INPUTS",IFERROR(IF(AND(ISNUMBER(U11),U11&gt;0),S11/(U11*1000)*100,"NOT ASSESSED"),"NOT ASSESSED"))</f>
        <v>44.935236978822353</v>
      </c>
      <c r="Y11" s="175" t="s">
        <v>479</v>
      </c>
      <c r="Z11" s="175">
        <f>Z6/2+Z9</f>
        <v>3827.5</v>
      </c>
    </row>
    <row r="12" spans="2:26" ht="18" customHeight="1">
      <c r="B12" s="283" t="s">
        <v>480</v>
      </c>
      <c r="C12" s="375">
        <f>'Load splits - 8 pt'!AE6</f>
        <v>3142.5196437925615</v>
      </c>
      <c r="D12" s="283" t="s">
        <v>49</v>
      </c>
      <c r="E12" s="283"/>
      <c r="F12" s="283"/>
      <c r="G12" s="283"/>
      <c r="H12" s="283"/>
      <c r="I12" s="283"/>
      <c r="J12" s="283"/>
      <c r="K12" s="283"/>
      <c r="L12" s="283"/>
      <c r="N12" s="181">
        <v>5</v>
      </c>
      <c r="O12" s="353">
        <f>IF($Z$24,SQRT(Z16^2+Z17^2),"CHECK INPUTS")</f>
        <v>4999.9999999999991</v>
      </c>
      <c r="P12" s="181"/>
      <c r="Q12" s="353">
        <f>IF($Z$24,(C12+C13+C18/2)*IF($P$26="",1,$P$26),"CHECK INPUTS")</f>
        <v>6885.039287585123</v>
      </c>
      <c r="R12" s="283"/>
      <c r="S12" s="353">
        <f>IF($Z$24,Q12*O12/Z17,"CHECK INPUTS")</f>
        <v>7950.1585721368401</v>
      </c>
      <c r="T12" s="283"/>
      <c r="U12" s="9">
        <v>30</v>
      </c>
      <c r="W12" s="355">
        <f>IF(ISTEXT(S12),"CHECK INPUTS",IFERROR(IF(AND(ISNUMBER(U12),U12&gt;0),S12/(U12*1000)*100,"NOT ASSESSED"),"NOT ASSESSED"))</f>
        <v>26.500528573789467</v>
      </c>
      <c r="Y12" s="175" t="s">
        <v>481</v>
      </c>
      <c r="Z12" s="175">
        <f>Z8/2+Z9</f>
        <v>3627.5</v>
      </c>
    </row>
    <row r="13" spans="2:26" ht="18" customHeight="1">
      <c r="B13" s="283" t="s">
        <v>482</v>
      </c>
      <c r="C13" s="375">
        <f>'Load splits - 8 pt'!AO6</f>
        <v>3142.5196437925615</v>
      </c>
      <c r="D13" s="283" t="s">
        <v>49</v>
      </c>
      <c r="E13" s="283"/>
      <c r="F13" s="283"/>
      <c r="G13" s="283"/>
      <c r="H13" s="283"/>
      <c r="I13" s="283"/>
      <c r="J13" s="283"/>
      <c r="K13" s="283"/>
      <c r="L13" s="283"/>
      <c r="N13" s="181">
        <v>6</v>
      </c>
      <c r="O13" s="353">
        <f>IF($Z$24,SQRT(Z16^2+Z17^2),"CHECK INPUTS")</f>
        <v>4999.9999999999991</v>
      </c>
      <c r="P13" s="181"/>
      <c r="Q13" s="353">
        <f>IF($Z$24,(C14+C15+C18/2)*IF($P$26="",1,$P$26),"CHECK INPUTS")</f>
        <v>12282.48297537978</v>
      </c>
      <c r="R13" s="283"/>
      <c r="S13" s="353">
        <f>IF($Z$24,Q13*O13/Z17,"CHECK INPUTS")</f>
        <v>14182.589704305024</v>
      </c>
      <c r="T13" s="283"/>
      <c r="U13" s="9">
        <v>30</v>
      </c>
      <c r="W13" s="355">
        <f>IF(ISTEXT(S13),"CHECK INPUTS",IFERROR(IF(AND(ISNUMBER(U13),U13&gt;0),S13/(U13*1000)*100,"NOT ASSESSED"),"NOT ASSESSED"))</f>
        <v>47.275299014350082</v>
      </c>
      <c r="Y13" s="175" t="s">
        <v>483</v>
      </c>
      <c r="Z13" s="175">
        <f>Z8/2-Z9</f>
        <v>3172.5</v>
      </c>
    </row>
    <row r="14" spans="2:26" ht="18" customHeight="1">
      <c r="B14" s="283" t="s">
        <v>484</v>
      </c>
      <c r="C14" s="375">
        <f>'Load splits - 8 pt'!AE24</f>
        <v>5841.2414876898902</v>
      </c>
      <c r="D14" s="283" t="s">
        <v>49</v>
      </c>
      <c r="N14" s="356"/>
      <c r="P14" s="305"/>
      <c r="Q14" s="356"/>
      <c r="W14" s="356"/>
      <c r="Y14" s="175" t="s">
        <v>485</v>
      </c>
      <c r="Z14" s="175">
        <f>MAX(Z10,Z11)*TAN(RADIANS(IF(C22="",60,C22)))</f>
        <v>6629.4244659698761</v>
      </c>
    </row>
    <row r="15" spans="2:26" ht="18" customHeight="1">
      <c r="B15" s="283" t="s">
        <v>486</v>
      </c>
      <c r="C15" s="375">
        <f>'Load splits - 8 pt'!AO24</f>
        <v>5841.2414876898902</v>
      </c>
      <c r="D15" s="283" t="s">
        <v>49</v>
      </c>
      <c r="N15" s="181">
        <v>7</v>
      </c>
      <c r="O15" s="353">
        <f>IF($Z$24,SQRT(Z10^2+$Z$25^2+Z14^2),"CHECK INPUTS")</f>
        <v>7504.8667543134952</v>
      </c>
      <c r="P15" s="181"/>
      <c r="Q15" s="353">
        <f>IF($Z$24,(C8)*IF($P$26="",1,$P$26),"CHECK INPUTS")</f>
        <v>2978.9803562074385</v>
      </c>
      <c r="R15" s="283"/>
      <c r="S15" s="353">
        <f>IF($Z$24,Q15*O15/Z14,"CHECK INPUTS")</f>
        <v>3372.3667494540796</v>
      </c>
      <c r="T15" s="283"/>
      <c r="U15" s="9">
        <v>15</v>
      </c>
      <c r="W15" s="355">
        <f>IF(ISTEXT(S15),"CHECK INPUTS",IFERROR(IF(AND(ISNUMBER(U15),U15&gt;0),S15/(U15*1000)*100,"NOT ASSESSED"),"NOT ASSESSED"))</f>
        <v>22.482444996360531</v>
      </c>
      <c r="Y15" s="175" t="s">
        <v>487</v>
      </c>
      <c r="Z15" s="175">
        <f>MAX(Z12,Z13)*TAN(RADIANS(IF(C22="",60,C22)))</f>
        <v>6283.0143044561</v>
      </c>
    </row>
    <row r="16" spans="2:26" ht="18" customHeight="1">
      <c r="B16" s="175" t="s">
        <v>488</v>
      </c>
      <c r="C16" s="8">
        <v>2500</v>
      </c>
      <c r="D16" s="175" t="s">
        <v>49</v>
      </c>
      <c r="N16" s="181">
        <v>8</v>
      </c>
      <c r="O16" s="353">
        <f>IF($Z$24,SQRT(Z11^2+$Z$25^2+Z14^2),"CHECK INPUTS")</f>
        <v>7720.040479168485</v>
      </c>
      <c r="P16" s="181"/>
      <c r="Q16" s="353">
        <f>IF($Z$24,(C9)*IF($P$26="",1,$P$26),"CHECK INPUTS")</f>
        <v>2978.9803562074385</v>
      </c>
      <c r="R16" s="283"/>
      <c r="S16" s="353">
        <f>IF($Z$24,Q16*O16/Z14,"CHECK INPUTS")</f>
        <v>3469.0566360053731</v>
      </c>
      <c r="T16" s="283"/>
      <c r="U16" s="9">
        <v>15</v>
      </c>
      <c r="W16" s="355">
        <f>IF(ISTEXT(S16),"CHECK INPUTS",IFERROR(IF(AND(ISNUMBER(U16),U16&gt;0),S16/(U16*1000)*100,"NOT ASSESSED"),"NOT ASSESSED"))</f>
        <v>23.127044240035822</v>
      </c>
      <c r="Y16" s="175" t="s">
        <v>489</v>
      </c>
      <c r="Z16" s="175">
        <f>Z5/2</f>
        <v>2500</v>
      </c>
    </row>
    <row r="17" spans="2:26" ht="18" customHeight="1">
      <c r="B17" s="175" t="s">
        <v>490</v>
      </c>
      <c r="C17" s="10">
        <v>1200</v>
      </c>
      <c r="D17" s="175" t="s">
        <v>49</v>
      </c>
      <c r="N17" s="181">
        <v>9</v>
      </c>
      <c r="O17" s="353">
        <f>IF($Z$24,SQRT(Z10^2+$Z$25^2+Z14^2),"CHECK INPUTS")</f>
        <v>7504.8667543134952</v>
      </c>
      <c r="P17" s="181"/>
      <c r="Q17" s="353">
        <f>IF($Z$24,(C10)*IF($P$26="",1,$P$26),"CHECK INPUTS")</f>
        <v>5537.2585123101098</v>
      </c>
      <c r="R17" s="283"/>
      <c r="S17" s="353">
        <f>IF($Z$24,Q17*O17/Z14,"CHECK INPUTS")</f>
        <v>6268.4758733420313</v>
      </c>
      <c r="T17" s="283"/>
      <c r="U17" s="9">
        <v>15</v>
      </c>
      <c r="W17" s="355">
        <f>IF(ISTEXT(S17),"CHECK INPUTS",IFERROR(IF(AND(ISNUMBER(U17),U17&gt;0),S17/(U17*1000)*100,"NOT ASSESSED"),"NOT ASSESSED"))</f>
        <v>41.789839155613542</v>
      </c>
      <c r="Y17" s="175" t="s">
        <v>491</v>
      </c>
      <c r="Z17" s="175">
        <f>Z16*TAN(RADIANS(IF(C21="",60,C21)))</f>
        <v>4330.1270189221923</v>
      </c>
    </row>
    <row r="18" spans="2:26" ht="18" customHeight="1">
      <c r="B18" s="175" t="s">
        <v>492</v>
      </c>
      <c r="C18" s="8">
        <v>1200</v>
      </c>
      <c r="D18" s="175" t="s">
        <v>49</v>
      </c>
      <c r="N18" s="181">
        <v>10</v>
      </c>
      <c r="O18" s="353">
        <f>IF($Z$24,SQRT(Z11^2+$Z$25^2+Z14^2),"CHECK INPUTS")</f>
        <v>7720.040479168485</v>
      </c>
      <c r="P18" s="181"/>
      <c r="Q18" s="353">
        <f>IF($Z$24,(C11)*IF($P$26="",1,$P$26),"CHECK INPUTS")</f>
        <v>5537.2585123101098</v>
      </c>
      <c r="R18" s="283"/>
      <c r="S18" s="353">
        <f>IF($Z$24,Q18*O18/Z14,"CHECK INPUTS")</f>
        <v>6448.2007568058707</v>
      </c>
      <c r="T18" s="283"/>
      <c r="U18" s="9">
        <v>15</v>
      </c>
      <c r="W18" s="355">
        <f>IF(ISTEXT(S18),"CHECK INPUTS",IFERROR(IF(AND(ISNUMBER(U18),U18&gt;0),S18/(U18*1000)*100,"NOT ASSESSED"),"NOT ASSESSED"))</f>
        <v>42.988005045372475</v>
      </c>
      <c r="Y18" s="175" t="s">
        <v>493</v>
      </c>
      <c r="Z18" s="175">
        <f>((SUM(C12:C15)+C18+C16/2)*Z20+(SUM(C8:C11)+C17+C16/2)*Z19)/(SUM(C8:C15)+SUM(C16:C18))</f>
        <v>8489.6734994899489</v>
      </c>
    </row>
    <row r="19" spans="2:26" ht="18" customHeight="1">
      <c r="N19" s="181"/>
      <c r="O19" s="289"/>
      <c r="P19" s="181"/>
      <c r="Q19" s="88"/>
      <c r="R19" s="283"/>
      <c r="S19" s="289"/>
      <c r="T19" s="283"/>
      <c r="W19" s="356"/>
      <c r="Y19" s="175" t="s">
        <v>494</v>
      </c>
      <c r="Z19" s="175">
        <f>Z6/2-Z9</f>
        <v>3372.5</v>
      </c>
    </row>
    <row r="20" spans="2:26" ht="18" customHeight="1">
      <c r="B20" s="309" t="s">
        <v>495</v>
      </c>
      <c r="C20" s="8"/>
      <c r="D20" s="310"/>
      <c r="N20" s="181">
        <v>11</v>
      </c>
      <c r="O20" s="353">
        <f>IF($Z$24,SQRT(Z12^2+$Z$26^2+Z15^2),"CHECK INPUTS")</f>
        <v>7323.5937216642469</v>
      </c>
      <c r="P20" s="181"/>
      <c r="Q20" s="353">
        <f>IF($Z$24,(C12)*IF($P$26="",1,$P$26),"CHECK INPUTS")</f>
        <v>3142.5196437925615</v>
      </c>
      <c r="R20" s="283"/>
      <c r="S20" s="353">
        <f>IF($Z$24,Q20*O20/Z15,"CHECK INPUTS")</f>
        <v>3662.9770390882568</v>
      </c>
      <c r="T20" s="283"/>
      <c r="U20" s="9">
        <v>15</v>
      </c>
      <c r="W20" s="355">
        <f>IF(ISTEXT(S20),"CHECK INPUTS",IFERROR(IF(AND(ISNUMBER(U20),U20&gt;0),S20/(U20*1000)*100,"NOT ASSESSED"),"NOT ASSESSED"))</f>
        <v>24.419846927255044</v>
      </c>
      <c r="Y20" s="175" t="s">
        <v>496</v>
      </c>
      <c r="Z20" s="175">
        <f>Z6+Z7+Z8/2+Z9</f>
        <v>13372.5</v>
      </c>
    </row>
    <row r="21" spans="2:26" ht="18" customHeight="1">
      <c r="B21" s="311" t="s">
        <v>497</v>
      </c>
      <c r="C21" s="10"/>
      <c r="D21" s="312"/>
      <c r="N21" s="181">
        <v>12</v>
      </c>
      <c r="O21" s="357">
        <f>IF($Z$24,SQRT(Z13^2+$Z$26^2+Z15^2),"CHECK INPUTS")</f>
        <v>7109.221124708386</v>
      </c>
      <c r="P21" s="181"/>
      <c r="Q21" s="353">
        <f>IF($Z$24,(C13)*IF($P$26="",1,$P$26),"CHECK INPUTS")</f>
        <v>3142.5196437925615</v>
      </c>
      <c r="R21" s="283"/>
      <c r="S21" s="357">
        <f>IF($Z$24,Q21*O21/Z15,"CHECK INPUTS")</f>
        <v>3555.7561950187423</v>
      </c>
      <c r="T21" s="283"/>
      <c r="U21" s="9">
        <v>15</v>
      </c>
      <c r="W21" s="355">
        <f>IF(ISTEXT(S21),"CHECK INPUTS",IFERROR(IF(AND(ISNUMBER(U21),U21&gt;0),S21/(U21*1000)*100,"NOT ASSESSED"),"NOT ASSESSED"))</f>
        <v>23.70504130012495</v>
      </c>
      <c r="Y21" s="175" t="s">
        <v>498</v>
      </c>
      <c r="Z21" s="175">
        <f>Z18-Z19</f>
        <v>5117.1734994899489</v>
      </c>
    </row>
    <row r="22" spans="2:26" ht="18" customHeight="1">
      <c r="B22" s="311" t="s">
        <v>499</v>
      </c>
      <c r="C22" s="8"/>
      <c r="D22" s="312"/>
      <c r="N22" s="181">
        <v>13</v>
      </c>
      <c r="O22" s="353">
        <f>IF($Z$24,SQRT(Z12^2+$Z$26^2+Z15^2),"CHECK INPUTS")</f>
        <v>7323.5937216642469</v>
      </c>
      <c r="P22" s="181"/>
      <c r="Q22" s="353">
        <f>IF($Z$24,(C14)*IF($P$26="",1,$P$26),"CHECK INPUTS")</f>
        <v>5841.2414876898902</v>
      </c>
      <c r="R22" s="283"/>
      <c r="S22" s="353">
        <f>IF($Z$24,Q22*O22/Z15,"CHECK INPUTS")</f>
        <v>6808.6554340056746</v>
      </c>
      <c r="T22" s="283"/>
      <c r="U22" s="9">
        <v>15</v>
      </c>
      <c r="W22" s="355">
        <f>IF(ISTEXT(S22),"CHECK INPUTS",IFERROR(IF(AND(ISNUMBER(U22),U22&gt;0),S22/(U22*1000)*100,"NOT ASSESSED"),"NOT ASSESSED"))</f>
        <v>45.391036226704493</v>
      </c>
      <c r="Y22" s="175" t="s">
        <v>500</v>
      </c>
      <c r="Z22" s="175">
        <f>Z20-Z18</f>
        <v>4882.8265005100511</v>
      </c>
    </row>
    <row r="23" spans="2:26" ht="18" customHeight="1">
      <c r="B23" s="182"/>
      <c r="C23" s="303"/>
      <c r="D23" s="312"/>
      <c r="E23" s="358"/>
      <c r="N23" s="181">
        <v>14</v>
      </c>
      <c r="O23" s="353">
        <f>IF($Z$24,SQRT(Z13^2+$Z$26^2+Z15^2),"CHECK INPUTS")</f>
        <v>7109.221124708386</v>
      </c>
      <c r="P23" s="181"/>
      <c r="Q23" s="353">
        <f>IF($Z$24,(C15)*IF($P$26="",1,$P$26),"CHECK INPUTS")</f>
        <v>5841.2414876898902</v>
      </c>
      <c r="R23" s="283"/>
      <c r="S23" s="353">
        <f>IF($Z$24,Q23*O23/Z15,"CHECK INPUTS")</f>
        <v>6609.3558547775474</v>
      </c>
      <c r="T23" s="283"/>
      <c r="U23" s="9">
        <v>15</v>
      </c>
      <c r="W23" s="355">
        <f>IF(ISTEXT(S23),"CHECK INPUTS",IFERROR(IF(AND(ISNUMBER(U23),U23&gt;0),S23/(U23*1000)*100,"NOT ASSESSED"),"NOT ASSESSED"))</f>
        <v>44.062372365183649</v>
      </c>
      <c r="Y23" s="175" t="s">
        <v>501</v>
      </c>
      <c r="Z23" s="175">
        <f>MAX(Z21,Z22)*TAN(RADIANS(IF(C20="",60,C20)))</f>
        <v>8863.2044922616205</v>
      </c>
    </row>
    <row r="24" spans="2:26" ht="18" customHeight="1">
      <c r="B24" s="313" t="s">
        <v>502</v>
      </c>
      <c r="C24" s="314"/>
      <c r="D24" s="315"/>
      <c r="E24" s="358"/>
      <c r="Y24" s="175" t="s">
        <v>503</v>
      </c>
      <c r="Z24" s="175" t="b">
        <f>IFERROR(AND(COUNT(C5)=1,C5&gt;0,COUNT(C8:C15)=8,MIN(C8:C15)&gt;0,COUNT(C16:C18)=3,MIN(C16:C18)&gt;=0,COUNT(C33:C34)=2,C33&gt;0,C34&gt;=C33,COUNT(C36:C37)=2,C36&gt;0,C37&gt;=C36,COUNT(C39:C40)=2,C39&gt;0,C40&gt;=C39,COUNT(Z10:Z13)=4,MIN(Z10:Z13)&gt;0,COUNT(Z21:Z22)=2,MIN(Z21:Z22)&gt;0,OR(C20="",AND(ISNUMBER(C20),C20&gt;=30,C20&lt;=75)),OR(C21="",AND(ISNUMBER(C21),C21&gt;=30,C21&lt;=75)),OR(C22="",AND(ISNUMBER(C22),C22&gt;=30,C22&lt;=75)),OR(C29="",AND(ISNUMBER(C29),C29&gt;=1,C29&lt;=10)),OR(P26="",AND(ISNUMBER(P26),P26&gt;=1,P26&lt;=5))),FALSE)</f>
        <v>1</v>
      </c>
    </row>
    <row r="25" spans="2:26" ht="18" customHeight="1">
      <c r="B25" s="313"/>
      <c r="C25" s="314"/>
      <c r="D25" s="315"/>
      <c r="E25" s="358"/>
      <c r="O25" s="359" t="s">
        <v>504</v>
      </c>
      <c r="Y25" s="175" t="s">
        <v>505</v>
      </c>
      <c r="Z25" s="175">
        <f>IFERROR(IF(AND(ISNUMBER(C37),ISNUMBER(C36),C37&gt;=C36),(C37-Z5)/2,"CHECK INPUTS"),"CHECK INPUTS")</f>
        <v>1000</v>
      </c>
    </row>
    <row r="26" spans="2:26" ht="18" customHeight="1">
      <c r="B26" s="313"/>
      <c r="C26" s="360"/>
      <c r="D26" s="315"/>
      <c r="O26" s="361" t="s">
        <v>506</v>
      </c>
      <c r="P26" s="11">
        <v>1</v>
      </c>
      <c r="Q26" s="287" t="s">
        <v>805</v>
      </c>
      <c r="Y26" s="175" t="s">
        <v>508</v>
      </c>
      <c r="Z26" s="175">
        <f>IFERROR(IF(AND(ISNUMBER(C40),ISNUMBER(C39),C40&gt;=C39),(C40-Z5)/2,"CHECK INPUTS"),"CHECK INPUTS")</f>
        <v>1000</v>
      </c>
    </row>
    <row r="27" spans="2:26" ht="18" customHeight="1">
      <c r="B27" s="317"/>
      <c r="C27" s="362"/>
      <c r="D27" s="319"/>
      <c r="E27" s="285"/>
    </row>
    <row r="28" spans="2:26" ht="18" customHeight="1">
      <c r="B28" s="363"/>
      <c r="C28" s="364"/>
      <c r="D28" s="363"/>
      <c r="E28" s="285"/>
      <c r="O28" s="304" t="str">
        <f>IFERROR(IF($Z$24,"✓ Spreader geometry OK",IF(OR(AND(ISNUMBER(C37),ISNUMBER(C36),C37&lt;C36),AND(ISNUMBER(C40),ISNUMBER(C39),C40&lt;C39)),"⚠ Lower spreader length incompatible","⚠ Spreader geometry/input invalid")),"⚠ Spreader geometry/input invalid")</f>
        <v>✓ Spreader geometry OK</v>
      </c>
    </row>
    <row r="29" spans="2:26" ht="18" customHeight="1">
      <c r="B29" s="309" t="s">
        <v>509</v>
      </c>
      <c r="C29" s="8">
        <v>8</v>
      </c>
      <c r="D29" s="310" t="s">
        <v>510</v>
      </c>
      <c r="O29" s="304" t="str">
        <f>IFERROR(IF(OR(COUNT(C5)&lt;&gt;1,COUNT(C8:C15)&lt;&gt;8,COUNT(C16:C18)&lt;&gt;3,COUNT(C34)&lt;&gt;1,COUNT(C37)&lt;&gt;1,COUNT(C40)&lt;&gt;1),"⚠ Missing/non-numeric input",IF(OR(C5&lt;=0,MIN(C8:C15)&lt;=0,MIN(C16:C18)&lt;0,C34&lt;=0,C37&lt;=0,C40&lt;=0,AND(C20&lt;&gt;"",OR(NOT(ISNUMBER(C20)),C20&lt;30,C20&gt;75)),AND(C21&lt;&gt;"",OR(NOT(ISNUMBER(C21)),C21&lt;30,C21&gt;75)),AND(C22&lt;&gt;"",OR(NOT(ISNUMBER(C22)),C22&lt;30,C22&gt;75)),AND(C29&lt;&gt;"",OR(NOT(ISNUMBER(C29)),C29&lt;1,C29&gt;10)),AND(P26&lt;&gt;"",OR(NOT(ISNUMBER(P26)),P26&lt;1,P26&gt;5))),"⚠ Input out of range","✓ Input ranges OK")),"⚠ Missing/non-numeric input")</f>
        <v>✓ Input ranges OK</v>
      </c>
    </row>
    <row r="30" spans="2:26" ht="18" customHeight="1">
      <c r="B30" s="365" t="s">
        <v>511</v>
      </c>
      <c r="C30" s="345"/>
      <c r="D30" s="366"/>
      <c r="O30" s="304" t="str">
        <f>IF(NOT($Z$24),"⚠ Tensions not calculated",IF(MIN(S7:S8,S10:S13,S15:S18,S20:S23)&lt;0,"⚠ Negative tension detected",IF(OR(COUNT(U7:U8,U10:U13,U15:U18,U20:U23)&lt;14,MIN(U7:U8,U10:U13,U15:U18,U20:U23)&lt;=0),"⚠ SWL not assessed","✓ Tensions positive; SWLs assessed")))</f>
        <v>✓ Tensions positive; SWLs assessed</v>
      </c>
    </row>
    <row r="31" spans="2:26" ht="18" customHeight="1">
      <c r="B31" s="367"/>
      <c r="C31" s="368"/>
      <c r="D31" s="369"/>
    </row>
    <row r="32" spans="2:26" ht="18" customHeight="1">
      <c r="C32" s="359"/>
      <c r="D32" s="359"/>
    </row>
    <row r="33" spans="2:19" ht="18" customHeight="1">
      <c r="B33" s="370" t="s">
        <v>512</v>
      </c>
      <c r="C33" s="371">
        <f>'Load splits - 8 pt'!D9/2+'Load splits - 8 pt'!D10+'Load splits - 8 pt'!D11/2</f>
        <v>9545</v>
      </c>
      <c r="D33" s="262" t="s">
        <v>1</v>
      </c>
    </row>
    <row r="34" spans="2:19" ht="18" customHeight="1">
      <c r="B34" s="372" t="s">
        <v>513</v>
      </c>
      <c r="C34" s="8">
        <v>10000</v>
      </c>
      <c r="D34" s="262" t="s">
        <v>1</v>
      </c>
      <c r="G34" s="308"/>
      <c r="H34" s="308"/>
      <c r="I34" s="308"/>
      <c r="J34" s="308"/>
      <c r="K34" s="308"/>
      <c r="L34" s="308"/>
      <c r="M34" s="308"/>
      <c r="N34" s="308"/>
      <c r="O34" s="308"/>
      <c r="P34" s="308"/>
      <c r="Q34" s="308"/>
      <c r="R34" s="308"/>
      <c r="S34" s="308"/>
    </row>
    <row r="35" spans="2:19" ht="18" customHeight="1">
      <c r="B35" s="283"/>
      <c r="D35" s="262"/>
      <c r="F35" s="308"/>
      <c r="G35" s="308"/>
      <c r="H35" s="308"/>
      <c r="I35" s="308"/>
      <c r="J35" s="308"/>
      <c r="K35" s="308"/>
      <c r="L35" s="308"/>
      <c r="M35" s="308"/>
      <c r="N35" s="308"/>
      <c r="O35" s="308"/>
      <c r="P35" s="308"/>
      <c r="Q35" s="308"/>
      <c r="R35" s="308"/>
      <c r="S35" s="308"/>
    </row>
    <row r="36" spans="2:19" ht="18" customHeight="1">
      <c r="B36" s="372" t="s">
        <v>514</v>
      </c>
      <c r="C36" s="353">
        <f>Z5+2*Z14*TAN(RADIANS(IF(C29="",0,C29)))</f>
        <v>6863.4096960877241</v>
      </c>
      <c r="D36" s="262" t="s">
        <v>1</v>
      </c>
      <c r="F36" s="308"/>
      <c r="G36" s="308"/>
      <c r="H36" s="308"/>
      <c r="I36" s="308"/>
      <c r="J36" s="308"/>
      <c r="K36" s="308"/>
      <c r="L36" s="308"/>
      <c r="M36" s="308"/>
      <c r="N36" s="308"/>
    </row>
    <row r="37" spans="2:19" ht="18" customHeight="1">
      <c r="B37" s="372" t="s">
        <v>513</v>
      </c>
      <c r="C37" s="8">
        <v>7000</v>
      </c>
      <c r="D37" s="262" t="s">
        <v>1</v>
      </c>
      <c r="E37" s="373" t="str">
        <f>IF(AND(ISNUMBER(C36),C37&lt;C36),"Short!","")</f>
        <v/>
      </c>
    </row>
    <row r="38" spans="2:19" ht="18" customHeight="1">
      <c r="B38" s="283"/>
      <c r="D38" s="262"/>
      <c r="E38" s="373"/>
    </row>
    <row r="39" spans="2:19" ht="18" customHeight="1">
      <c r="B39" s="372" t="s">
        <v>515</v>
      </c>
      <c r="C39" s="353">
        <f>Z5+2*Z15*TAN(RADIANS(IF(C29="",0,C29)))</f>
        <v>6766.0401495906517</v>
      </c>
      <c r="D39" s="262" t="s">
        <v>1</v>
      </c>
      <c r="E39" s="373"/>
    </row>
    <row r="40" spans="2:19" ht="18" customHeight="1">
      <c r="B40" s="374" t="s">
        <v>513</v>
      </c>
      <c r="C40" s="8">
        <v>7000</v>
      </c>
      <c r="D40" s="262" t="s">
        <v>1</v>
      </c>
      <c r="E40" s="373" t="str">
        <f>IF(AND(ISNUMBER(C39),C40&lt;C39),"Short!","")</f>
        <v/>
      </c>
    </row>
    <row r="42" spans="2:19" ht="18" customHeight="1">
      <c r="B42" s="572" t="s">
        <v>809</v>
      </c>
    </row>
    <row r="43" spans="2:19" ht="18" customHeight="1">
      <c r="B43" s="572" t="s">
        <v>810</v>
      </c>
    </row>
    <row r="44" spans="2:19" ht="18" customHeight="1">
      <c r="B44" s="572" t="s">
        <v>811</v>
      </c>
    </row>
    <row r="45" spans="2:19" ht="18" customHeight="1">
      <c r="B45" s="573" t="s">
        <v>812</v>
      </c>
    </row>
    <row r="46" spans="2:19" ht="18" customHeight="1">
      <c r="B46" s="573" t="s">
        <v>813</v>
      </c>
    </row>
  </sheetData>
  <sheetProtection sheet="1" objects="1" scenarios="1" selectLockedCells="1"/>
  <mergeCells count="3">
    <mergeCell ref="F4:L6"/>
    <mergeCell ref="B24:D27"/>
    <mergeCell ref="B30:D31"/>
  </mergeCells>
  <conditionalFormatting sqref="E37">
    <cfRule type="expression" dxfId="31" priority="19">
      <formula>AND(ISNUMBER(C36),C37&lt;C36)</formula>
    </cfRule>
  </conditionalFormatting>
  <conditionalFormatting sqref="E40">
    <cfRule type="expression" dxfId="30" priority="20">
      <formula>AND(ISNUMBER(C39),C40&lt;C39)</formula>
    </cfRule>
  </conditionalFormatting>
  <conditionalFormatting sqref="O28:O30">
    <cfRule type="expression" dxfId="29" priority="5">
      <formula>LEFT(O28,1)="⚠"</formula>
    </cfRule>
    <cfRule type="expression" dxfId="28" priority="6">
      <formula>LEFT(O28,1)="✓"</formula>
    </cfRule>
  </conditionalFormatting>
  <conditionalFormatting sqref="S7:S8">
    <cfRule type="cellIs" dxfId="27" priority="1" operator="lessThan">
      <formula>0</formula>
    </cfRule>
  </conditionalFormatting>
  <conditionalFormatting sqref="S10:S13">
    <cfRule type="cellIs" dxfId="26" priority="2" operator="lessThan">
      <formula>0</formula>
    </cfRule>
  </conditionalFormatting>
  <conditionalFormatting sqref="S15:S18">
    <cfRule type="cellIs" dxfId="25" priority="3" operator="lessThan">
      <formula>0</formula>
    </cfRule>
  </conditionalFormatting>
  <conditionalFormatting sqref="S20:S23">
    <cfRule type="cellIs" dxfId="24" priority="4" operator="lessThan">
      <formula>0</formula>
    </cfRule>
  </conditionalFormatting>
  <conditionalFormatting sqref="W7:W8">
    <cfRule type="expression" dxfId="11" priority="21">
      <formula>AND(ISNUMBER(W7),W7&gt;=80,W7&lt;90)</formula>
    </cfRule>
  </conditionalFormatting>
  <conditionalFormatting sqref="W7:W8">
    <cfRule type="expression" dxfId="10" priority="22">
      <formula>AND(ISNUMBER(W7),W7&gt;=90,W7&lt;100)</formula>
    </cfRule>
  </conditionalFormatting>
  <conditionalFormatting sqref="W7:W8">
    <cfRule type="expression" dxfId="9" priority="23">
      <formula>AND(ISNUMBER(W7),W7&gt;=100)</formula>
    </cfRule>
  </conditionalFormatting>
  <conditionalFormatting sqref="W10:W13">
    <cfRule type="expression" dxfId="8" priority="24">
      <formula>AND(ISNUMBER(W10),W10&gt;=80,W10&lt;90)</formula>
    </cfRule>
  </conditionalFormatting>
  <conditionalFormatting sqref="W10:W13">
    <cfRule type="expression" dxfId="7" priority="25">
      <formula>AND(ISNUMBER(W10),W10&gt;=90,W10&lt;100)</formula>
    </cfRule>
  </conditionalFormatting>
  <conditionalFormatting sqref="W10:W13">
    <cfRule type="expression" dxfId="6" priority="26">
      <formula>AND(ISNUMBER(W10),W10&gt;=100)</formula>
    </cfRule>
  </conditionalFormatting>
  <conditionalFormatting sqref="W15:W18">
    <cfRule type="expression" dxfId="5" priority="27">
      <formula>AND(ISNUMBER(W15),W15&gt;=80,W15&lt;90)</formula>
    </cfRule>
  </conditionalFormatting>
  <conditionalFormatting sqref="W15:W18">
    <cfRule type="expression" dxfId="4" priority="28">
      <formula>AND(ISNUMBER(W15),W15&gt;=90,W15&lt;100)</formula>
    </cfRule>
  </conditionalFormatting>
  <conditionalFormatting sqref="W15:W18">
    <cfRule type="expression" dxfId="3" priority="29">
      <formula>AND(ISNUMBER(W15),W15&gt;=100)</formula>
    </cfRule>
  </conditionalFormatting>
  <conditionalFormatting sqref="W20:W23">
    <cfRule type="expression" dxfId="2" priority="30">
      <formula>AND(ISNUMBER(W20),W20&gt;=80,W20&lt;90)</formula>
    </cfRule>
  </conditionalFormatting>
  <conditionalFormatting sqref="W20:W23">
    <cfRule type="expression" dxfId="1" priority="31">
      <formula>AND(ISNUMBER(W20),W20&gt;=90,W20&lt;100)</formula>
    </cfRule>
  </conditionalFormatting>
  <conditionalFormatting sqref="W20:W23">
    <cfRule type="expression" dxfId="0" priority="32">
      <formula>AND(ISNUMBER(W20),W20&gt;=100)</formula>
    </cfRule>
  </conditionalFormatting>
  <dataValidations count="15">
    <dataValidation type="decimal" allowBlank="1" showInputMessage="1" showErrorMessage="1" errorTitle="Invalid DAF" error="DAF must be blank, or a value between 1 and 5." sqref="P26" xr:uid="{1523FAD8-9529-4DEC-9063-1931C2FDA73A}">
      <formula1>1</formula1>
      <formula2>5</formula2>
    </dataValidation>
    <dataValidation type="decimal" allowBlank="1" showInputMessage="1" showErrorMessage="1" errorTitle="Invalid angle" error="Outwards angle must be between 1 and 10 degrees." sqref="C29" xr:uid="{BCC72D62-DEE7-4B07-A0F4-1875997DD47B}">
      <formula1>1</formula1>
      <formula2>10</formula2>
    </dataValidation>
    <dataValidation type="decimal" allowBlank="1" showInputMessage="1" showErrorMessage="1" errorTitle="Invalid angle" error="Value outside acceptable range" sqref="C20:C23" xr:uid="{89B153EB-59FC-4D3F-A4EC-460EC2925BEC}">
      <formula1>30</formula1>
      <formula2>75</formula2>
    </dataValidation>
    <dataValidation type="decimal" operator="greaterThan" showInputMessage="1" showErrorMessage="1" errorTitle="Invalid input" error="Weight must be a number &gt; 0." sqref="C5:C7" xr:uid="{8E966703-EF0E-404B-BF7F-9C1AA90F20F0}">
      <formula1>0</formula1>
    </dataValidation>
    <dataValidation type="decimal" operator="greaterThan" allowBlank="1" showInputMessage="1" showErrorMessage="1" errorTitle="Invalid SWL" error="SWL must be blank (not assessed) or a number &gt; 0." sqref="U20:U23" xr:uid="{23A4964D-A738-45A9-992D-B0FADBE67C40}">
      <formula1>0</formula1>
    </dataValidation>
    <dataValidation type="decimal" operator="greaterThanOrEqual" allowBlank="1" showInputMessage="1" showErrorMessage="1" errorTitle="Invalid weight" error="Spreader weight must be a number ≥ 0." sqref="C16:C18" xr:uid="{613466DE-9397-4421-ADAC-424BD96697FB}">
      <formula1>0</formula1>
    </dataValidation>
    <dataValidation type="decimal" operator="greaterThan" showInputMessage="1" showErrorMessage="1" errorTitle="Invalid input" error="Dist F must be a number &gt; 0." sqref="C15" xr:uid="{8AEED337-840A-4D05-9F08-A6467902E6A2}">
      <formula1>0</formula1>
    </dataValidation>
    <dataValidation type="decimal" operator="greaterThan" showInputMessage="1" showErrorMessage="1" errorTitle="Invalid input" error="Dist E must be a number &gt; 0." sqref="C14" xr:uid="{35E73243-F695-4080-85A9-D663D8228E7B}">
      <formula1>0</formula1>
    </dataValidation>
    <dataValidation type="decimal" operator="greaterThan" showInputMessage="1" showErrorMessage="1" errorTitle="Invalid input" error="Dist C2 must be a number &gt; 0." sqref="C13" xr:uid="{635A912A-4C31-49B3-9321-58825802FA32}">
      <formula1>0</formula1>
    </dataValidation>
    <dataValidation type="decimal" operator="greaterThan" showInputMessage="1" showErrorMessage="1" errorTitle="Invalid input" error="Dist A2 must be a number &gt; 0." sqref="C12" xr:uid="{419AA580-AC33-4686-A861-572A1D275F80}">
      <formula1>0</formula1>
    </dataValidation>
    <dataValidation type="decimal" operator="greaterThan" showInputMessage="1" showErrorMessage="1" errorTitle="Invalid input" error="Dist D must be a number &gt; 0." sqref="C11" xr:uid="{55387B6C-F26E-427A-A404-93798EBEBD5C}">
      <formula1>0</formula1>
    </dataValidation>
    <dataValidation type="decimal" operator="greaterThan" showInputMessage="1" showErrorMessage="1" errorTitle="Invalid input" error="Dist C1 must be a number &gt; 0." sqref="C10" xr:uid="{65305CB1-BDF1-4D21-B3D7-38752A0747B9}">
      <formula1>0</formula1>
    </dataValidation>
    <dataValidation type="decimal" operator="greaterThan" showInputMessage="1" showErrorMessage="1" errorTitle="Invalid input" error="Dist B must be a number &gt; 0." sqref="C9" xr:uid="{8BA2C084-24E8-48CF-A4D4-DF1A90610228}">
      <formula1>0</formula1>
    </dataValidation>
    <dataValidation type="decimal" operator="greaterThan" showInputMessage="1" showErrorMessage="1" errorTitle="Invalid input" error="Dist A1 must be a number &gt; 0." sqref="C8" xr:uid="{FA69E907-D02D-443E-B32F-349FFD29B8EA}">
      <formula1>0</formula1>
    </dataValidation>
    <dataValidation type="decimal" operator="greaterThan" allowBlank="1" showInputMessage="1" showErrorMessage="1" errorTitle="Invalid SWL" error="SWL must be blank (not assessed) or a number &gt; 0." sqref="U7:U8 U10:U13 U15:U18" xr:uid="{72E8A657-39F1-49C9-8977-44B071211E4E}">
      <formula1>0</formula1>
    </dataValidation>
  </dataValidations>
  <hyperlinks>
    <hyperlink ref="W2" location="Home!A1" display="Home" xr:uid="{A2BE408E-CCCD-4263-A277-11A8A84E2DE9}"/>
    <hyperlink ref="B45" r:id="rId1" xr:uid="{0EE2DB2D-889C-480D-9A00-0AD22DF51525}"/>
    <hyperlink ref="B46" r:id="rId2" xr:uid="{4D429464-5FC6-4D43-80D2-02C1A85442B2}"/>
  </hyperlinks>
  <pageMargins left="0.25" right="0.25" top="0.75" bottom="0.75" header="0.3" footer="0.3"/>
  <pageSetup paperSize="9" scale="62" orientation="landscape" horizontalDpi="300" verticalDpi="300" r:id="rId3"/>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E1B46-A84A-4E9D-BF38-E36D2F8CC9EF}">
  <sheetPr codeName="Sheet9">
    <pageSetUpPr fitToPage="1"/>
  </sheetPr>
  <dimension ref="B2:U44"/>
  <sheetViews>
    <sheetView showGridLines="0" showRowColHeaders="0" zoomScaleNormal="100" workbookViewId="0">
      <selection activeCell="N13" sqref="N13"/>
    </sheetView>
  </sheetViews>
  <sheetFormatPr defaultRowHeight="15"/>
  <cols>
    <col min="1" max="1" width="3.140625" style="65" customWidth="1"/>
    <col min="2" max="2" width="12.5703125" style="65" customWidth="1"/>
    <col min="3" max="3" width="15" style="65" customWidth="1"/>
    <col min="4" max="4" width="5.7109375" style="65" customWidth="1"/>
    <col min="5" max="5" width="11.140625" style="65" customWidth="1"/>
    <col min="6" max="6" width="11.85546875" style="65" customWidth="1"/>
    <col min="7" max="7" width="5.7109375" style="65" customWidth="1"/>
    <col min="8" max="11" width="9.7109375" style="65" customWidth="1"/>
    <col min="12" max="12" width="5.7109375" style="65" customWidth="1"/>
    <col min="13" max="16" width="9.7109375" style="65" customWidth="1"/>
    <col min="17" max="17" width="5.7109375" style="65" customWidth="1"/>
    <col min="18" max="21" width="9.7109375" style="65" customWidth="1"/>
    <col min="22" max="22" width="5.7109375" style="65" customWidth="1"/>
    <col min="23" max="23" width="10" style="65" bestFit="1" customWidth="1"/>
    <col min="24" max="16384" width="9.140625" style="65"/>
  </cols>
  <sheetData>
    <row r="2" spans="2:21" ht="20.25">
      <c r="B2" s="146" t="s">
        <v>623</v>
      </c>
      <c r="F2" s="592" t="s">
        <v>298</v>
      </c>
    </row>
    <row r="4" spans="2:21" ht="15" customHeight="1">
      <c r="B4" s="377" t="s">
        <v>159</v>
      </c>
      <c r="C4" s="377"/>
      <c r="E4" s="377" t="s">
        <v>160</v>
      </c>
      <c r="F4" s="377"/>
      <c r="H4" s="116" t="s">
        <v>161</v>
      </c>
      <c r="I4" s="116"/>
      <c r="J4" s="116"/>
      <c r="K4" s="116"/>
      <c r="M4" s="116" t="s">
        <v>162</v>
      </c>
      <c r="N4" s="116"/>
      <c r="O4" s="116"/>
      <c r="P4" s="116"/>
      <c r="R4" s="116" t="s">
        <v>163</v>
      </c>
      <c r="S4" s="116"/>
      <c r="T4" s="116"/>
      <c r="U4" s="116"/>
    </row>
    <row r="5" spans="2:21">
      <c r="B5" s="377"/>
      <c r="C5" s="377"/>
      <c r="E5" s="377"/>
      <c r="F5" s="377"/>
      <c r="G5" s="60"/>
      <c r="H5" s="116"/>
      <c r="I5" s="116"/>
      <c r="J5" s="116"/>
      <c r="K5" s="116"/>
      <c r="L5" s="60"/>
      <c r="M5" s="116"/>
      <c r="N5" s="116"/>
      <c r="O5" s="116"/>
      <c r="P5" s="116"/>
      <c r="R5" s="116"/>
      <c r="S5" s="116"/>
      <c r="T5" s="116"/>
      <c r="U5" s="116"/>
    </row>
    <row r="6" spans="2:21">
      <c r="J6" s="60"/>
      <c r="K6" s="60"/>
    </row>
    <row r="7" spans="2:21" s="60" customFormat="1">
      <c r="B7" s="32"/>
      <c r="C7" s="33"/>
      <c r="E7" s="34"/>
      <c r="F7" s="33"/>
      <c r="H7" s="34"/>
      <c r="I7" s="33"/>
      <c r="J7" s="378">
        <f>J27+0.1</f>
        <v>4.0000000000000018</v>
      </c>
      <c r="K7" s="33"/>
      <c r="M7" s="34"/>
      <c r="N7" s="33"/>
      <c r="O7" s="378">
        <f>O32+0.1</f>
        <v>4.9999999999999982</v>
      </c>
      <c r="P7" s="33"/>
      <c r="R7" s="34"/>
      <c r="S7" s="33"/>
      <c r="T7" s="378">
        <f>T37+0.1</f>
        <v>5.9999999999999947</v>
      </c>
      <c r="U7" s="33"/>
    </row>
    <row r="8" spans="2:21">
      <c r="B8" s="379">
        <f>B18+0.1</f>
        <v>0.99999999999999989</v>
      </c>
      <c r="C8" s="33"/>
      <c r="E8" s="378">
        <f>E7+2</f>
        <v>2</v>
      </c>
      <c r="F8" s="33"/>
      <c r="G8" s="380"/>
      <c r="H8" s="381"/>
      <c r="I8" s="381"/>
      <c r="L8" s="382"/>
      <c r="M8" s="381"/>
      <c r="N8" s="381"/>
      <c r="R8" s="381"/>
      <c r="S8" s="381"/>
    </row>
    <row r="9" spans="2:21">
      <c r="B9" s="60"/>
      <c r="C9" s="383"/>
      <c r="E9" s="60"/>
      <c r="F9" s="383"/>
      <c r="G9" s="380"/>
      <c r="H9" s="384">
        <f>H7+0.1</f>
        <v>0.1</v>
      </c>
      <c r="I9" s="385">
        <f>($I$7-$K$7)/4000*3900+$K$7</f>
        <v>0</v>
      </c>
      <c r="J9" s="384">
        <f>H28+0.1</f>
        <v>2.1000000000000005</v>
      </c>
      <c r="K9" s="385">
        <f>($I$7-$K$7)/4000*1900+$K$7</f>
        <v>0</v>
      </c>
      <c r="L9" s="382"/>
      <c r="M9" s="384">
        <f>M7+0.1</f>
        <v>0.1</v>
      </c>
      <c r="N9" s="385">
        <f>($N$7-$P$7)/5000*4900+$P$7</f>
        <v>0</v>
      </c>
      <c r="O9" s="384">
        <f>M33+0.1</f>
        <v>2.600000000000001</v>
      </c>
      <c r="P9" s="385">
        <f>($N$7-$P$7)/5000*2400+$P$7</f>
        <v>0</v>
      </c>
      <c r="R9" s="384">
        <f>R7+0.1</f>
        <v>0.1</v>
      </c>
      <c r="S9" s="385">
        <f>($S$7-$U$7)/6000*5900+$U$7</f>
        <v>0</v>
      </c>
      <c r="T9" s="384">
        <f>R38+0.1</f>
        <v>3.1000000000000014</v>
      </c>
      <c r="U9" s="385">
        <f>($S$7-$U$7)/6000*2900+$U$7</f>
        <v>0</v>
      </c>
    </row>
    <row r="10" spans="2:21">
      <c r="B10" s="384">
        <f>B7+0.1</f>
        <v>0.1</v>
      </c>
      <c r="C10" s="385">
        <f>(C7-C8)/1000*900+C8</f>
        <v>0</v>
      </c>
      <c r="E10" s="384">
        <f>E7+0.1</f>
        <v>0.1</v>
      </c>
      <c r="F10" s="385">
        <f>(F7-F8)/2000*1900+F8</f>
        <v>0</v>
      </c>
      <c r="G10" s="380"/>
      <c r="H10" s="384">
        <f t="shared" ref="H10:H27" si="0">H9+0.1</f>
        <v>0.2</v>
      </c>
      <c r="I10" s="385">
        <f>($I$7-$K$7)/4000*3800+$K$7</f>
        <v>0</v>
      </c>
      <c r="J10" s="384">
        <f t="shared" ref="J10:J27" si="1">J9+0.1</f>
        <v>2.2000000000000006</v>
      </c>
      <c r="K10" s="385">
        <f>($I$7-$K$7)/4000*1800+$K$7</f>
        <v>0</v>
      </c>
      <c r="L10" s="382"/>
      <c r="M10" s="384">
        <f t="shared" ref="M10:M33" si="2">M9+0.1</f>
        <v>0.2</v>
      </c>
      <c r="N10" s="385">
        <f>($N$7-$P$7)/5000*4800+$P$7</f>
        <v>0</v>
      </c>
      <c r="O10" s="384">
        <f>O9+0.1</f>
        <v>2.7000000000000011</v>
      </c>
      <c r="P10" s="385">
        <f>($N$7-$P$7)/5000*2300+$P$7</f>
        <v>0</v>
      </c>
      <c r="R10" s="384">
        <f t="shared" ref="R10:R37" si="3">R9+0.1</f>
        <v>0.2</v>
      </c>
      <c r="S10" s="385">
        <f>($S$7-$U$7)/6000*5800+$U$7</f>
        <v>0</v>
      </c>
      <c r="T10" s="384">
        <f t="shared" ref="T10:T37" si="4">T9+0.1</f>
        <v>3.2000000000000015</v>
      </c>
      <c r="U10" s="385">
        <f>($S$7-$U$7)/6000*2800+$U$7</f>
        <v>0</v>
      </c>
    </row>
    <row r="11" spans="2:21">
      <c r="B11" s="384">
        <f t="shared" ref="B11:B18" si="5">B10+0.1</f>
        <v>0.2</v>
      </c>
      <c r="C11" s="385">
        <f>(C7-C8)/1000*800+C8</f>
        <v>0</v>
      </c>
      <c r="E11" s="384">
        <f t="shared" ref="E11:E28" si="6">E10+0.1</f>
        <v>0.2</v>
      </c>
      <c r="F11" s="385">
        <f>(F7-F8)/2000*1800+F8</f>
        <v>0</v>
      </c>
      <c r="G11" s="380"/>
      <c r="H11" s="384">
        <f t="shared" si="0"/>
        <v>0.30000000000000004</v>
      </c>
      <c r="I11" s="385">
        <f>($I$7-$K$7)/4000*3700+$K$7</f>
        <v>0</v>
      </c>
      <c r="J11" s="384">
        <f t="shared" si="1"/>
        <v>2.3000000000000007</v>
      </c>
      <c r="K11" s="385">
        <f>($I$7-$K$7)/4000*1700+$K$7</f>
        <v>0</v>
      </c>
      <c r="L11" s="382"/>
      <c r="M11" s="384">
        <f t="shared" si="2"/>
        <v>0.30000000000000004</v>
      </c>
      <c r="N11" s="385">
        <f>($N$7-$P$7)/5000*4700+$P$7</f>
        <v>0</v>
      </c>
      <c r="O11" s="384">
        <f>O10+0.1</f>
        <v>2.8000000000000012</v>
      </c>
      <c r="P11" s="385">
        <f>($N$7-$P$7)/5000*2200+$P$7</f>
        <v>0</v>
      </c>
      <c r="R11" s="384">
        <f t="shared" si="3"/>
        <v>0.30000000000000004</v>
      </c>
      <c r="S11" s="385">
        <f>($S$7-$U$7)/6000*5700+$U$7</f>
        <v>0</v>
      </c>
      <c r="T11" s="384">
        <f t="shared" si="4"/>
        <v>3.3000000000000016</v>
      </c>
      <c r="U11" s="385">
        <f>($S$7-$U$7)/6000*2700+$U$7</f>
        <v>0</v>
      </c>
    </row>
    <row r="12" spans="2:21">
      <c r="B12" s="384">
        <f t="shared" si="5"/>
        <v>0.30000000000000004</v>
      </c>
      <c r="C12" s="385">
        <f>(C7-C8)/1000*700+C8</f>
        <v>0</v>
      </c>
      <c r="E12" s="384">
        <f t="shared" si="6"/>
        <v>0.30000000000000004</v>
      </c>
      <c r="F12" s="385">
        <f>(F7-F8)/2000*1700+F8</f>
        <v>0</v>
      </c>
      <c r="G12" s="380"/>
      <c r="H12" s="384">
        <f t="shared" si="0"/>
        <v>0.4</v>
      </c>
      <c r="I12" s="385">
        <f>($I$7-$K$7)/4000*3600+$K$7</f>
        <v>0</v>
      </c>
      <c r="J12" s="384">
        <f t="shared" si="1"/>
        <v>2.4000000000000008</v>
      </c>
      <c r="K12" s="385">
        <f>($I$7-$K$7)/4000*1600+$K$7</f>
        <v>0</v>
      </c>
      <c r="L12" s="382"/>
      <c r="M12" s="384">
        <f t="shared" si="2"/>
        <v>0.4</v>
      </c>
      <c r="N12" s="385">
        <f>($N$7-$P$7)/5000*4600+$P$7</f>
        <v>0</v>
      </c>
      <c r="O12" s="384">
        <f>O11+0.1</f>
        <v>2.9000000000000012</v>
      </c>
      <c r="P12" s="385">
        <f>($N$7-$P$7)/5000*2100+$P$7</f>
        <v>0</v>
      </c>
      <c r="R12" s="384">
        <f t="shared" si="3"/>
        <v>0.4</v>
      </c>
      <c r="S12" s="385">
        <f>($S$7-$U$7)/6000*5600+$U$7</f>
        <v>0</v>
      </c>
      <c r="T12" s="384">
        <f t="shared" si="4"/>
        <v>3.4000000000000017</v>
      </c>
      <c r="U12" s="385">
        <f>($S$7-$U$7)/6000*2600+$U$7</f>
        <v>0</v>
      </c>
    </row>
    <row r="13" spans="2:21">
      <c r="B13" s="384">
        <f t="shared" si="5"/>
        <v>0.4</v>
      </c>
      <c r="C13" s="385">
        <f>(C7-C8)/1000*600+C8</f>
        <v>0</v>
      </c>
      <c r="E13" s="384">
        <f t="shared" si="6"/>
        <v>0.4</v>
      </c>
      <c r="F13" s="385">
        <f>(F7-F8)/2000*1600+F8</f>
        <v>0</v>
      </c>
      <c r="G13" s="380"/>
      <c r="H13" s="386">
        <f t="shared" si="0"/>
        <v>0.5</v>
      </c>
      <c r="I13" s="385">
        <f>($I$7-$K$7)/4000*3500+$K$7</f>
        <v>0</v>
      </c>
      <c r="J13" s="386">
        <f t="shared" si="1"/>
        <v>2.5000000000000009</v>
      </c>
      <c r="K13" s="385">
        <f>($I$7-$K$7)/4000*1500+$K$7</f>
        <v>0</v>
      </c>
      <c r="L13" s="382"/>
      <c r="M13" s="386">
        <f t="shared" si="2"/>
        <v>0.5</v>
      </c>
      <c r="N13" s="385">
        <f>($N$7-$P$7)/5000*4500+$P$7</f>
        <v>0</v>
      </c>
      <c r="O13" s="387">
        <f>O12+0.1</f>
        <v>3.0000000000000013</v>
      </c>
      <c r="P13" s="385">
        <f>($N$7-$P$7)/5000*2000+$P$7</f>
        <v>0</v>
      </c>
      <c r="R13" s="386">
        <f t="shared" si="3"/>
        <v>0.5</v>
      </c>
      <c r="S13" s="385">
        <f>($S$7-$U$7)/6000*5500+$U$7</f>
        <v>0</v>
      </c>
      <c r="T13" s="386">
        <f t="shared" si="4"/>
        <v>3.5000000000000018</v>
      </c>
      <c r="U13" s="385">
        <f>($S$7-$U$7)/6000*2500+$U$7</f>
        <v>0</v>
      </c>
    </row>
    <row r="14" spans="2:21">
      <c r="B14" s="384">
        <f t="shared" si="5"/>
        <v>0.5</v>
      </c>
      <c r="C14" s="385">
        <f>(C7-C8)/1000*500+C8</f>
        <v>0</v>
      </c>
      <c r="E14" s="384">
        <f t="shared" si="6"/>
        <v>0.5</v>
      </c>
      <c r="F14" s="385">
        <f>(F7-F8)/2000*1500+F8</f>
        <v>0</v>
      </c>
      <c r="G14" s="380"/>
      <c r="H14" s="384">
        <f t="shared" si="0"/>
        <v>0.6</v>
      </c>
      <c r="I14" s="385">
        <f>($I$7-$K$7)/4000*3400+$K$7</f>
        <v>0</v>
      </c>
      <c r="J14" s="384">
        <f t="shared" si="1"/>
        <v>2.600000000000001</v>
      </c>
      <c r="K14" s="385">
        <f>($I$7-$K$7)/4000*1400+$K$7</f>
        <v>0</v>
      </c>
      <c r="L14" s="382"/>
      <c r="M14" s="384">
        <f t="shared" si="2"/>
        <v>0.6</v>
      </c>
      <c r="N14" s="385">
        <f>($N$7-$P$7)/5000*4400+$P$7</f>
        <v>0</v>
      </c>
      <c r="O14" s="384">
        <f>O13+0.1</f>
        <v>3.1000000000000014</v>
      </c>
      <c r="P14" s="385">
        <f>($N$7-$P$7)/5000*1900+$P$7</f>
        <v>0</v>
      </c>
      <c r="R14" s="384">
        <f t="shared" si="3"/>
        <v>0.6</v>
      </c>
      <c r="S14" s="385">
        <f>($S$7-$U$7)/6000*5400+$U$7</f>
        <v>0</v>
      </c>
      <c r="T14" s="384">
        <f t="shared" si="4"/>
        <v>3.6000000000000019</v>
      </c>
      <c r="U14" s="385">
        <f>($S$7-$U$7)/6000*2400+$U$7</f>
        <v>0</v>
      </c>
    </row>
    <row r="15" spans="2:21">
      <c r="B15" s="384">
        <f t="shared" si="5"/>
        <v>0.6</v>
      </c>
      <c r="C15" s="385">
        <f>(C7-C8)/1000*400+C8</f>
        <v>0</v>
      </c>
      <c r="E15" s="384">
        <f t="shared" si="6"/>
        <v>0.6</v>
      </c>
      <c r="F15" s="385">
        <f>(F7-F8)/2000*1400+F8</f>
        <v>0</v>
      </c>
      <c r="G15" s="380"/>
      <c r="H15" s="384">
        <f t="shared" si="0"/>
        <v>0.7</v>
      </c>
      <c r="I15" s="385">
        <f>($I$7-$K$7)/4000*3300+$K$7</f>
        <v>0</v>
      </c>
      <c r="J15" s="384">
        <f t="shared" si="1"/>
        <v>2.7000000000000011</v>
      </c>
      <c r="K15" s="385">
        <f>($I$7-$K$7)/4000*1300+$K$7</f>
        <v>0</v>
      </c>
      <c r="L15" s="382"/>
      <c r="M15" s="384">
        <f t="shared" si="2"/>
        <v>0.7</v>
      </c>
      <c r="N15" s="385">
        <f>($N$7-$P$7)/5000*4300+$P$7</f>
        <v>0</v>
      </c>
      <c r="O15" s="384">
        <f t="shared" ref="O15:O32" si="7">O14+0.1</f>
        <v>3.2000000000000015</v>
      </c>
      <c r="P15" s="385">
        <f>($N$7-$P$7)/5000*1800+$P$7</f>
        <v>0</v>
      </c>
      <c r="R15" s="384">
        <f t="shared" si="3"/>
        <v>0.7</v>
      </c>
      <c r="S15" s="385">
        <f>($S$7-$U$7)/6000*5300+$U$7</f>
        <v>0</v>
      </c>
      <c r="T15" s="384">
        <f t="shared" si="4"/>
        <v>3.700000000000002</v>
      </c>
      <c r="U15" s="385">
        <f>($S$7-$U$7)/6000*2300+$U$7</f>
        <v>0</v>
      </c>
    </row>
    <row r="16" spans="2:21">
      <c r="B16" s="384">
        <f t="shared" si="5"/>
        <v>0.7</v>
      </c>
      <c r="C16" s="385">
        <f>(C7-C8)/1000*300+C8</f>
        <v>0</v>
      </c>
      <c r="E16" s="384">
        <f t="shared" si="6"/>
        <v>0.7</v>
      </c>
      <c r="F16" s="385">
        <f>(F7-F8)/2000*1300+F8</f>
        <v>0</v>
      </c>
      <c r="G16" s="380"/>
      <c r="H16" s="384">
        <f t="shared" si="0"/>
        <v>0.79999999999999993</v>
      </c>
      <c r="I16" s="385">
        <f>($I$7-$K$7)/4000*3200+$K$7</f>
        <v>0</v>
      </c>
      <c r="J16" s="384">
        <f t="shared" si="1"/>
        <v>2.8000000000000012</v>
      </c>
      <c r="K16" s="385">
        <f>($I$7-$K$7)/4000*1200+$K$7</f>
        <v>0</v>
      </c>
      <c r="L16" s="382"/>
      <c r="M16" s="384">
        <f t="shared" si="2"/>
        <v>0.79999999999999993</v>
      </c>
      <c r="N16" s="385">
        <f>($N$7-$P$7)/5000*4200+$P$7</f>
        <v>0</v>
      </c>
      <c r="O16" s="384">
        <f t="shared" si="7"/>
        <v>3.3000000000000016</v>
      </c>
      <c r="P16" s="385">
        <f>($N$7-$P$7)/5000*1700+$P$7</f>
        <v>0</v>
      </c>
      <c r="R16" s="384">
        <f t="shared" si="3"/>
        <v>0.79999999999999993</v>
      </c>
      <c r="S16" s="385">
        <f>($S$7-$U$7)/6000*5200+$U$7</f>
        <v>0</v>
      </c>
      <c r="T16" s="384">
        <f t="shared" si="4"/>
        <v>3.800000000000002</v>
      </c>
      <c r="U16" s="385">
        <f>($S$7-$U$7)/6000*2200+$U$7</f>
        <v>0</v>
      </c>
    </row>
    <row r="17" spans="2:21">
      <c r="B17" s="384">
        <f t="shared" si="5"/>
        <v>0.79999999999999993</v>
      </c>
      <c r="C17" s="385">
        <f>(C7-C8)/1000*200+C8</f>
        <v>0</v>
      </c>
      <c r="E17" s="384">
        <f t="shared" si="6"/>
        <v>0.79999999999999993</v>
      </c>
      <c r="F17" s="385">
        <f>(F7-F8)/2000*1200+F8</f>
        <v>0</v>
      </c>
      <c r="G17" s="380"/>
      <c r="H17" s="384">
        <f t="shared" si="0"/>
        <v>0.89999999999999991</v>
      </c>
      <c r="I17" s="385">
        <f>($I$7-$K$7)/4000*3100+$K$7</f>
        <v>0</v>
      </c>
      <c r="J17" s="384">
        <f t="shared" si="1"/>
        <v>2.9000000000000012</v>
      </c>
      <c r="K17" s="385">
        <f>($I$7-$K$7)/4000*1100+$K$7</f>
        <v>0</v>
      </c>
      <c r="L17" s="382"/>
      <c r="M17" s="384">
        <f t="shared" si="2"/>
        <v>0.89999999999999991</v>
      </c>
      <c r="N17" s="385">
        <f>($N$7-$P$7)/5000*4100+$P$7</f>
        <v>0</v>
      </c>
      <c r="O17" s="384">
        <f t="shared" si="7"/>
        <v>3.4000000000000017</v>
      </c>
      <c r="P17" s="385">
        <f>($N$7-$P$7)/5000*1600+$P$7</f>
        <v>0</v>
      </c>
      <c r="R17" s="384">
        <f t="shared" si="3"/>
        <v>0.89999999999999991</v>
      </c>
      <c r="S17" s="385">
        <f>($S$7-$U$7)/6000*5100+$U$7</f>
        <v>0</v>
      </c>
      <c r="T17" s="384">
        <f t="shared" si="4"/>
        <v>3.9000000000000021</v>
      </c>
      <c r="U17" s="385">
        <f>($S$7-$U$7)/6000*2100+$U$7</f>
        <v>0</v>
      </c>
    </row>
    <row r="18" spans="2:21">
      <c r="B18" s="384">
        <f t="shared" si="5"/>
        <v>0.89999999999999991</v>
      </c>
      <c r="C18" s="385">
        <f>(C7-C8)/1000*100+C8</f>
        <v>0</v>
      </c>
      <c r="E18" s="384">
        <f t="shared" si="6"/>
        <v>0.89999999999999991</v>
      </c>
      <c r="F18" s="385">
        <f>(F7-F8)/2000*1100+F8</f>
        <v>0</v>
      </c>
      <c r="G18" s="380"/>
      <c r="H18" s="387">
        <f t="shared" si="0"/>
        <v>0.99999999999999989</v>
      </c>
      <c r="I18" s="385">
        <f>($I$7-$K$7)/4000*3000+$K$7</f>
        <v>0</v>
      </c>
      <c r="J18" s="387">
        <f t="shared" si="1"/>
        <v>3.0000000000000013</v>
      </c>
      <c r="K18" s="385">
        <f>($I$7-$K$7)/4000*1000+$K$7</f>
        <v>0</v>
      </c>
      <c r="L18" s="382"/>
      <c r="M18" s="387">
        <f t="shared" si="2"/>
        <v>0.99999999999999989</v>
      </c>
      <c r="N18" s="385">
        <f>($N$7-$P$7)/5000*4000+$P$7</f>
        <v>0</v>
      </c>
      <c r="O18" s="386">
        <f t="shared" si="7"/>
        <v>3.5000000000000018</v>
      </c>
      <c r="P18" s="385">
        <f>($N$7-$P$7)/5000*1500+$P$7</f>
        <v>0</v>
      </c>
      <c r="R18" s="387">
        <f t="shared" si="3"/>
        <v>0.99999999999999989</v>
      </c>
      <c r="S18" s="385">
        <f>($S$7-$U$7)/6000*5000+$U$7</f>
        <v>0</v>
      </c>
      <c r="T18" s="387">
        <f t="shared" si="4"/>
        <v>4.0000000000000018</v>
      </c>
      <c r="U18" s="385">
        <f>($S$7-$U$7)/6000*2000+$U$7</f>
        <v>0</v>
      </c>
    </row>
    <row r="19" spans="2:21">
      <c r="E19" s="387">
        <f t="shared" si="6"/>
        <v>0.99999999999999989</v>
      </c>
      <c r="F19" s="385">
        <f>(F7-F8)/2000*1000+F8</f>
        <v>0</v>
      </c>
      <c r="G19" s="380"/>
      <c r="H19" s="384">
        <f t="shared" si="0"/>
        <v>1.0999999999999999</v>
      </c>
      <c r="I19" s="385">
        <f>($I$7-$K$7)/4000*2900+$K$7</f>
        <v>0</v>
      </c>
      <c r="J19" s="384">
        <f t="shared" si="1"/>
        <v>3.1000000000000014</v>
      </c>
      <c r="K19" s="385">
        <f>($I$7-$K$7)/4000*900+$K$7</f>
        <v>0</v>
      </c>
      <c r="L19" s="382"/>
      <c r="M19" s="384">
        <f t="shared" si="2"/>
        <v>1.0999999999999999</v>
      </c>
      <c r="N19" s="385">
        <f>($N$7-$P$7)/5000*3900+$P$7</f>
        <v>0</v>
      </c>
      <c r="O19" s="384">
        <f t="shared" si="7"/>
        <v>3.6000000000000019</v>
      </c>
      <c r="P19" s="385">
        <f>($N$7-$P$7)/5000*1400+$P$7</f>
        <v>0</v>
      </c>
      <c r="R19" s="384">
        <f t="shared" si="3"/>
        <v>1.0999999999999999</v>
      </c>
      <c r="S19" s="385">
        <f>($S$7-$U$7)/6000*4900+$U$7</f>
        <v>0</v>
      </c>
      <c r="T19" s="384">
        <f t="shared" si="4"/>
        <v>4.1000000000000014</v>
      </c>
      <c r="U19" s="385">
        <f>($S$7-$U$7)/6000*1900+$U$7</f>
        <v>0</v>
      </c>
    </row>
    <row r="20" spans="2:21">
      <c r="E20" s="384">
        <f t="shared" si="6"/>
        <v>1.0999999999999999</v>
      </c>
      <c r="F20" s="385">
        <f>(F7-F8)/2000*900+F8</f>
        <v>0</v>
      </c>
      <c r="G20" s="380"/>
      <c r="H20" s="384">
        <f t="shared" si="0"/>
        <v>1.2</v>
      </c>
      <c r="I20" s="385">
        <f>($I$7-$K$7)/4000*2800+$K$7</f>
        <v>0</v>
      </c>
      <c r="J20" s="384">
        <f t="shared" si="1"/>
        <v>3.2000000000000015</v>
      </c>
      <c r="K20" s="385">
        <f>($I$7-$K$7)/4000*800+$K$7</f>
        <v>0</v>
      </c>
      <c r="L20" s="382"/>
      <c r="M20" s="384">
        <f t="shared" si="2"/>
        <v>1.2</v>
      </c>
      <c r="N20" s="385">
        <f>($N$7-$P$7)/5000*3800+$P$7</f>
        <v>0</v>
      </c>
      <c r="O20" s="384">
        <f t="shared" si="7"/>
        <v>3.700000000000002</v>
      </c>
      <c r="P20" s="385">
        <f>($N$7-$P$7)/5000*1300+$P$7</f>
        <v>0</v>
      </c>
      <c r="R20" s="384">
        <f t="shared" si="3"/>
        <v>1.2</v>
      </c>
      <c r="S20" s="385">
        <f>($S$7-$U$7)/6000*4800+$U$7</f>
        <v>0</v>
      </c>
      <c r="T20" s="384">
        <f t="shared" si="4"/>
        <v>4.2000000000000011</v>
      </c>
      <c r="U20" s="385">
        <f>($S$7-$U$7)/6000*1800+$U$7</f>
        <v>0</v>
      </c>
    </row>
    <row r="21" spans="2:21">
      <c r="E21" s="384">
        <f t="shared" si="6"/>
        <v>1.2</v>
      </c>
      <c r="F21" s="385">
        <f>(F7-F8)/2000*800+F8</f>
        <v>0</v>
      </c>
      <c r="G21" s="380"/>
      <c r="H21" s="384">
        <f t="shared" si="0"/>
        <v>1.3</v>
      </c>
      <c r="I21" s="385">
        <f>($I$7-$K$7)/4000*2700+$K$7</f>
        <v>0</v>
      </c>
      <c r="J21" s="384">
        <f t="shared" si="1"/>
        <v>3.3000000000000016</v>
      </c>
      <c r="K21" s="385">
        <f>($I$7-$K$7)/4000*700+$K$7</f>
        <v>0</v>
      </c>
      <c r="L21" s="382"/>
      <c r="M21" s="384">
        <f t="shared" si="2"/>
        <v>1.3</v>
      </c>
      <c r="N21" s="385">
        <f>($N$7-$P$7)/5000*3700+$P$7</f>
        <v>0</v>
      </c>
      <c r="O21" s="384">
        <f t="shared" si="7"/>
        <v>3.800000000000002</v>
      </c>
      <c r="P21" s="385">
        <f>($N$7-$P$7)/5000*1200+$P$7</f>
        <v>0</v>
      </c>
      <c r="R21" s="384">
        <f t="shared" si="3"/>
        <v>1.3</v>
      </c>
      <c r="S21" s="385">
        <f>($S$7-$U$7)/6000*4700+$U$7</f>
        <v>0</v>
      </c>
      <c r="T21" s="384">
        <f t="shared" si="4"/>
        <v>4.3000000000000007</v>
      </c>
      <c r="U21" s="385">
        <f>($S$7-$U$7)/6000*1700+$U$7</f>
        <v>0</v>
      </c>
    </row>
    <row r="22" spans="2:21">
      <c r="E22" s="384">
        <f t="shared" si="6"/>
        <v>1.3</v>
      </c>
      <c r="F22" s="385">
        <f>(F7-F8)/2000*700+F8</f>
        <v>0</v>
      </c>
      <c r="G22" s="380"/>
      <c r="H22" s="384">
        <f t="shared" si="0"/>
        <v>1.4000000000000001</v>
      </c>
      <c r="I22" s="385">
        <f>($I$7-$K$7)/4000*2600+$K$7</f>
        <v>0</v>
      </c>
      <c r="J22" s="384">
        <f t="shared" si="1"/>
        <v>3.4000000000000017</v>
      </c>
      <c r="K22" s="385">
        <f>($I$7-$K$7)/4000*600+$K$7</f>
        <v>0</v>
      </c>
      <c r="L22" s="382"/>
      <c r="M22" s="384">
        <f t="shared" si="2"/>
        <v>1.4000000000000001</v>
      </c>
      <c r="N22" s="385">
        <f>($N$7-$P$7)/5000*3600+$P$7</f>
        <v>0</v>
      </c>
      <c r="O22" s="384">
        <f t="shared" si="7"/>
        <v>3.9000000000000021</v>
      </c>
      <c r="P22" s="385">
        <f>($N$7-$P$7)/5000*1100+$P$7</f>
        <v>0</v>
      </c>
      <c r="R22" s="384">
        <f t="shared" si="3"/>
        <v>1.4000000000000001</v>
      </c>
      <c r="S22" s="385">
        <f>($S$7-$U$7)/6000*4600+$U$7</f>
        <v>0</v>
      </c>
      <c r="T22" s="384">
        <f t="shared" si="4"/>
        <v>4.4000000000000004</v>
      </c>
      <c r="U22" s="385">
        <f>($S$7-$U$7)/6000*1600+$U$7</f>
        <v>0</v>
      </c>
    </row>
    <row r="23" spans="2:21">
      <c r="E23" s="384">
        <f t="shared" si="6"/>
        <v>1.4000000000000001</v>
      </c>
      <c r="F23" s="385">
        <f>(F7-F8)/2000*600+F8</f>
        <v>0</v>
      </c>
      <c r="G23" s="380"/>
      <c r="H23" s="386">
        <f t="shared" si="0"/>
        <v>1.5000000000000002</v>
      </c>
      <c r="I23" s="385">
        <f>($I$7-$K$7)/4000*2500+$K$7</f>
        <v>0</v>
      </c>
      <c r="J23" s="386">
        <f t="shared" si="1"/>
        <v>3.5000000000000018</v>
      </c>
      <c r="K23" s="385">
        <f>($I$7-$K$7)/4000*500+$K$7</f>
        <v>0</v>
      </c>
      <c r="L23" s="382"/>
      <c r="M23" s="386">
        <f t="shared" si="2"/>
        <v>1.5000000000000002</v>
      </c>
      <c r="N23" s="385">
        <f>($N$7-$P$7)/5000*3500+$P$7</f>
        <v>0</v>
      </c>
      <c r="O23" s="387">
        <f t="shared" si="7"/>
        <v>4.0000000000000018</v>
      </c>
      <c r="P23" s="385">
        <f>($N$7-$P$7)/5000*1000+$P$7</f>
        <v>0</v>
      </c>
      <c r="R23" s="386">
        <f t="shared" si="3"/>
        <v>1.5000000000000002</v>
      </c>
      <c r="S23" s="385">
        <f>($S$7-$U$7)/6000*4500+$U$7</f>
        <v>0</v>
      </c>
      <c r="T23" s="386">
        <f t="shared" si="4"/>
        <v>4.5</v>
      </c>
      <c r="U23" s="385">
        <f>($S$7-$U$7)/6000*1500+$U$7</f>
        <v>0</v>
      </c>
    </row>
    <row r="24" spans="2:21">
      <c r="E24" s="384">
        <f t="shared" si="6"/>
        <v>1.5000000000000002</v>
      </c>
      <c r="F24" s="385">
        <f>(F7-F8)/2000*500+F8</f>
        <v>0</v>
      </c>
      <c r="G24" s="380"/>
      <c r="H24" s="384">
        <f t="shared" si="0"/>
        <v>1.6000000000000003</v>
      </c>
      <c r="I24" s="385">
        <f>($I$7-$K$7)/4000*2400+$K$7</f>
        <v>0</v>
      </c>
      <c r="J24" s="384">
        <f t="shared" si="1"/>
        <v>3.6000000000000019</v>
      </c>
      <c r="K24" s="385">
        <f>($I$7-$K$7)/4000*400+$K$7</f>
        <v>0</v>
      </c>
      <c r="L24" s="382"/>
      <c r="M24" s="384">
        <f t="shared" si="2"/>
        <v>1.6000000000000003</v>
      </c>
      <c r="N24" s="385">
        <f>($N$7-$P$7)/5000*3400+$P$7</f>
        <v>0</v>
      </c>
      <c r="O24" s="384">
        <f t="shared" si="7"/>
        <v>4.1000000000000014</v>
      </c>
      <c r="P24" s="385">
        <f>($N$7-$P$7)/5000*900+$P$7</f>
        <v>0</v>
      </c>
      <c r="R24" s="384">
        <f t="shared" si="3"/>
        <v>1.6000000000000003</v>
      </c>
      <c r="S24" s="385">
        <f>($S$7-$U$7)/6000*4400+$U$7</f>
        <v>0</v>
      </c>
      <c r="T24" s="384">
        <f t="shared" si="4"/>
        <v>4.5999999999999996</v>
      </c>
      <c r="U24" s="385">
        <f>($S$7-$U$7)/6000*1400+$U$7</f>
        <v>0</v>
      </c>
    </row>
    <row r="25" spans="2:21">
      <c r="E25" s="384">
        <f t="shared" si="6"/>
        <v>1.6000000000000003</v>
      </c>
      <c r="F25" s="385">
        <f>(F7-F8)/2000*400+F8</f>
        <v>0</v>
      </c>
      <c r="G25" s="380"/>
      <c r="H25" s="384">
        <f t="shared" si="0"/>
        <v>1.7000000000000004</v>
      </c>
      <c r="I25" s="385">
        <f>($I$7-$K$7)/4000*2300+$K$7</f>
        <v>0</v>
      </c>
      <c r="J25" s="384">
        <f t="shared" si="1"/>
        <v>3.700000000000002</v>
      </c>
      <c r="K25" s="385">
        <f>($I$7-$K$7)/4000*300+$K$7</f>
        <v>0</v>
      </c>
      <c r="L25" s="382"/>
      <c r="M25" s="384">
        <f t="shared" si="2"/>
        <v>1.7000000000000004</v>
      </c>
      <c r="N25" s="385">
        <f>($N$7-$P$7)/5000*3300+$P$7</f>
        <v>0</v>
      </c>
      <c r="O25" s="384">
        <f t="shared" si="7"/>
        <v>4.2000000000000011</v>
      </c>
      <c r="P25" s="385">
        <f>($N$7-$P$7)/5000*800+$P$7</f>
        <v>0</v>
      </c>
      <c r="R25" s="384">
        <f t="shared" si="3"/>
        <v>1.7000000000000004</v>
      </c>
      <c r="S25" s="385">
        <f>($S$7-$U$7)/6000*4300+$U$7</f>
        <v>0</v>
      </c>
      <c r="T25" s="384">
        <f t="shared" si="4"/>
        <v>4.6999999999999993</v>
      </c>
      <c r="U25" s="385">
        <f>($S$7-$U$7)/6000*1300+$U$7</f>
        <v>0</v>
      </c>
    </row>
    <row r="26" spans="2:21">
      <c r="E26" s="384">
        <f t="shared" si="6"/>
        <v>1.7000000000000004</v>
      </c>
      <c r="F26" s="385">
        <f>(F7-F8)/2000*300+F8</f>
        <v>0</v>
      </c>
      <c r="G26" s="380"/>
      <c r="H26" s="384">
        <f t="shared" si="0"/>
        <v>1.8000000000000005</v>
      </c>
      <c r="I26" s="385">
        <f>($I$7-$K$7)/4000*2200+$K$7</f>
        <v>0</v>
      </c>
      <c r="J26" s="384">
        <f t="shared" si="1"/>
        <v>3.800000000000002</v>
      </c>
      <c r="K26" s="385">
        <f>($I$7-$K$7)/4000*200+$K$7</f>
        <v>0</v>
      </c>
      <c r="L26" s="382"/>
      <c r="M26" s="384">
        <f>M25+0.1</f>
        <v>1.8000000000000005</v>
      </c>
      <c r="N26" s="385">
        <f>($N$7-$P$7)/5000*3200+$P$7</f>
        <v>0</v>
      </c>
      <c r="O26" s="384">
        <f t="shared" si="7"/>
        <v>4.3000000000000007</v>
      </c>
      <c r="P26" s="385">
        <f>($N$7-$P$7)/5000*700+$P$7</f>
        <v>0</v>
      </c>
      <c r="R26" s="384">
        <f t="shared" si="3"/>
        <v>1.8000000000000005</v>
      </c>
      <c r="S26" s="385">
        <f>($S$7-$U$7)/6000*4200+$U$7</f>
        <v>0</v>
      </c>
      <c r="T26" s="384">
        <f t="shared" si="4"/>
        <v>4.7999999999999989</v>
      </c>
      <c r="U26" s="385">
        <f>($S$7-$U$7)/6000*1200+$U$7</f>
        <v>0</v>
      </c>
    </row>
    <row r="27" spans="2:21">
      <c r="E27" s="384">
        <f t="shared" si="6"/>
        <v>1.8000000000000005</v>
      </c>
      <c r="F27" s="385">
        <f>(F7-F8)/2000*200+F8</f>
        <v>0</v>
      </c>
      <c r="G27" s="380"/>
      <c r="H27" s="384">
        <f t="shared" si="0"/>
        <v>1.9000000000000006</v>
      </c>
      <c r="I27" s="385">
        <f>($I$7-$K$7)/4000*2100+$K$7</f>
        <v>0</v>
      </c>
      <c r="J27" s="384">
        <f t="shared" si="1"/>
        <v>3.9000000000000021</v>
      </c>
      <c r="K27" s="385">
        <f>($I$7-$K$7)/4000*100+$K$7</f>
        <v>0</v>
      </c>
      <c r="L27" s="381"/>
      <c r="M27" s="384">
        <f t="shared" si="2"/>
        <v>1.9000000000000006</v>
      </c>
      <c r="N27" s="385">
        <f>($N$7-$P$7)/5000*3100+$P$7</f>
        <v>0</v>
      </c>
      <c r="O27" s="384">
        <f t="shared" si="7"/>
        <v>4.4000000000000004</v>
      </c>
      <c r="P27" s="385">
        <f>($N$7-$P$7)/5000*600+$P$7</f>
        <v>0</v>
      </c>
      <c r="R27" s="384">
        <f t="shared" si="3"/>
        <v>1.9000000000000006</v>
      </c>
      <c r="S27" s="385">
        <f>($S$7-$U$7)/6000*4100+$U$7</f>
        <v>0</v>
      </c>
      <c r="T27" s="384">
        <f t="shared" si="4"/>
        <v>4.8999999999999986</v>
      </c>
      <c r="U27" s="385">
        <f>($S$7-$U$7)/6000*1100+$U$7</f>
        <v>0</v>
      </c>
    </row>
    <row r="28" spans="2:21">
      <c r="E28" s="384">
        <f t="shared" si="6"/>
        <v>1.9000000000000006</v>
      </c>
      <c r="F28" s="385">
        <f>(F7-F8)/2000*100+F8</f>
        <v>0</v>
      </c>
      <c r="H28" s="387">
        <f>H27+0.1</f>
        <v>2.0000000000000004</v>
      </c>
      <c r="I28" s="385">
        <f>($I$7-$K$7)/4000*2000+$K$7</f>
        <v>0</v>
      </c>
      <c r="M28" s="387">
        <f>M27+0.1</f>
        <v>2.0000000000000004</v>
      </c>
      <c r="N28" s="385">
        <f>($N$7-$P$7)/5000*3000+$P$7</f>
        <v>0</v>
      </c>
      <c r="O28" s="386">
        <f t="shared" si="7"/>
        <v>4.5</v>
      </c>
      <c r="P28" s="385">
        <f>($N$7-$P$7)/5000*500+$P$7</f>
        <v>0</v>
      </c>
      <c r="R28" s="387">
        <f>R27+0.1</f>
        <v>2.0000000000000004</v>
      </c>
      <c r="S28" s="385">
        <f>($S$7-$U$7)/6000*4000+$U$7</f>
        <v>0</v>
      </c>
      <c r="T28" s="387">
        <f>T27+0.1</f>
        <v>4.9999999999999982</v>
      </c>
      <c r="U28" s="385">
        <f>($S$7-$U$7)/6000*1000+$U$7</f>
        <v>0</v>
      </c>
    </row>
    <row r="29" spans="2:21">
      <c r="E29" s="388"/>
      <c r="F29" s="389"/>
      <c r="M29" s="384">
        <f t="shared" si="2"/>
        <v>2.1000000000000005</v>
      </c>
      <c r="N29" s="385">
        <f>($N$7-$P$7)/5000*2900+$P$7</f>
        <v>0</v>
      </c>
      <c r="O29" s="384">
        <f>O28+0.1</f>
        <v>4.5999999999999996</v>
      </c>
      <c r="P29" s="385">
        <f>($N$7-$P$7)/5000*400+$P$7</f>
        <v>0</v>
      </c>
      <c r="R29" s="384">
        <f t="shared" si="3"/>
        <v>2.1000000000000005</v>
      </c>
      <c r="S29" s="385">
        <f>($S$7-$U$7)/6000*3900+$U$7</f>
        <v>0</v>
      </c>
      <c r="T29" s="384">
        <f t="shared" si="4"/>
        <v>5.0999999999999979</v>
      </c>
      <c r="U29" s="385">
        <f>($S$7-$U$7)/6000*900+$U$7</f>
        <v>0</v>
      </c>
    </row>
    <row r="30" spans="2:21">
      <c r="E30" s="388"/>
      <c r="F30" s="389"/>
      <c r="M30" s="384">
        <f t="shared" si="2"/>
        <v>2.2000000000000006</v>
      </c>
      <c r="N30" s="385">
        <f>($N$7-$P$7)/5000*2800+$P$7</f>
        <v>0</v>
      </c>
      <c r="O30" s="384">
        <f t="shared" si="7"/>
        <v>4.6999999999999993</v>
      </c>
      <c r="P30" s="385">
        <f>($N$7-$P$7)/5000*300+$P$7</f>
        <v>0</v>
      </c>
      <c r="R30" s="384">
        <f t="shared" si="3"/>
        <v>2.2000000000000006</v>
      </c>
      <c r="S30" s="385">
        <f>($S$7-$U$7)/6000*3800+$U$7</f>
        <v>0</v>
      </c>
      <c r="T30" s="384">
        <f t="shared" si="4"/>
        <v>5.1999999999999975</v>
      </c>
      <c r="U30" s="385">
        <f>($S$7-$U$7)/6000*800+$U$7</f>
        <v>0</v>
      </c>
    </row>
    <row r="31" spans="2:21">
      <c r="C31" s="390" t="s">
        <v>675</v>
      </c>
      <c r="D31" s="391"/>
      <c r="E31" s="391"/>
      <c r="F31" s="391"/>
      <c r="G31" s="391"/>
      <c r="H31" s="391"/>
      <c r="I31" s="392"/>
      <c r="M31" s="384">
        <f t="shared" si="2"/>
        <v>2.3000000000000007</v>
      </c>
      <c r="N31" s="385">
        <f>($N$7-$P$7)/5000*2700+$P$7</f>
        <v>0</v>
      </c>
      <c r="O31" s="384">
        <f t="shared" si="7"/>
        <v>4.7999999999999989</v>
      </c>
      <c r="P31" s="385">
        <f>($N$7-$P$7)/5000*200+$P$7</f>
        <v>0</v>
      </c>
      <c r="R31" s="384">
        <f t="shared" si="3"/>
        <v>2.3000000000000007</v>
      </c>
      <c r="S31" s="385">
        <f>($S$7-$U$7)/6000*3700+$U$7</f>
        <v>0</v>
      </c>
      <c r="T31" s="384">
        <f t="shared" si="4"/>
        <v>5.2999999999999972</v>
      </c>
      <c r="U31" s="385">
        <f>($S$7-$U$7)/6000*700+$U$7</f>
        <v>0</v>
      </c>
    </row>
    <row r="32" spans="2:21">
      <c r="M32" s="384">
        <f t="shared" si="2"/>
        <v>2.4000000000000008</v>
      </c>
      <c r="N32" s="385">
        <f>($N$7-$P$7)/5000*2600+$P$7</f>
        <v>0</v>
      </c>
      <c r="O32" s="384">
        <f t="shared" si="7"/>
        <v>4.8999999999999986</v>
      </c>
      <c r="P32" s="385">
        <f>($N$7-$P$7)/5000*100+$P$7</f>
        <v>0</v>
      </c>
      <c r="R32" s="384">
        <f t="shared" si="3"/>
        <v>2.4000000000000008</v>
      </c>
      <c r="S32" s="385">
        <f>($S$7-$U$7)/6000*3600+$U$7</f>
        <v>0</v>
      </c>
      <c r="T32" s="384">
        <f t="shared" si="4"/>
        <v>5.3999999999999968</v>
      </c>
      <c r="U32" s="385">
        <f>($S$7-$U$7)/6000*600+$U$7</f>
        <v>0</v>
      </c>
    </row>
    <row r="33" spans="2:21">
      <c r="E33" s="377" t="s">
        <v>160</v>
      </c>
      <c r="F33" s="377"/>
      <c r="M33" s="386">
        <f t="shared" si="2"/>
        <v>2.5000000000000009</v>
      </c>
      <c r="N33" s="385">
        <f>($N$7-$P$7)/5000*2500+$P$7</f>
        <v>0</v>
      </c>
      <c r="R33" s="386">
        <f t="shared" si="3"/>
        <v>2.5000000000000009</v>
      </c>
      <c r="S33" s="385">
        <f>($S$7-$U$7)/6000*3500+$U$7</f>
        <v>0</v>
      </c>
      <c r="T33" s="386">
        <f t="shared" si="4"/>
        <v>5.4999999999999964</v>
      </c>
      <c r="U33" s="385">
        <f>($S$7-$U$7)/6000*500+$U$7</f>
        <v>0</v>
      </c>
    </row>
    <row r="34" spans="2:21">
      <c r="E34" s="377"/>
      <c r="F34" s="377"/>
      <c r="R34" s="384">
        <f t="shared" si="3"/>
        <v>2.600000000000001</v>
      </c>
      <c r="S34" s="385">
        <f>($S$7-$U$7)/6000*3400+$U$7</f>
        <v>0</v>
      </c>
      <c r="T34" s="384">
        <f t="shared" si="4"/>
        <v>5.5999999999999961</v>
      </c>
      <c r="U34" s="385">
        <f>($S$7-$U$7)/6000*400+$U$7</f>
        <v>0</v>
      </c>
    </row>
    <row r="35" spans="2:21">
      <c r="R35" s="384">
        <f t="shared" si="3"/>
        <v>2.7000000000000011</v>
      </c>
      <c r="S35" s="385">
        <f>($S$7-$U$7)/6000*3300+$U$7</f>
        <v>0</v>
      </c>
      <c r="T35" s="384">
        <f t="shared" si="4"/>
        <v>5.6999999999999957</v>
      </c>
      <c r="U35" s="385">
        <f>($S$7-$U$7)/6000*300+$U$7</f>
        <v>0</v>
      </c>
    </row>
    <row r="36" spans="2:21">
      <c r="C36" s="393" t="s">
        <v>671</v>
      </c>
      <c r="D36" s="394"/>
      <c r="E36" s="34">
        <v>10</v>
      </c>
      <c r="F36" s="33">
        <v>10</v>
      </c>
      <c r="G36" s="395" t="s">
        <v>673</v>
      </c>
      <c r="H36" s="396"/>
      <c r="I36" s="396"/>
      <c r="R36" s="384">
        <f t="shared" si="3"/>
        <v>2.8000000000000012</v>
      </c>
      <c r="S36" s="385">
        <f>($S$7-$U$7)/6000*3200+$U$7</f>
        <v>0</v>
      </c>
      <c r="T36" s="384">
        <f t="shared" si="4"/>
        <v>5.7999999999999954</v>
      </c>
      <c r="U36" s="385">
        <f>($S$7-$U$7)/6000*200+$U$7</f>
        <v>0</v>
      </c>
    </row>
    <row r="37" spans="2:21">
      <c r="D37" s="397" t="s">
        <v>672</v>
      </c>
      <c r="E37" s="378">
        <f>E36+2</f>
        <v>12</v>
      </c>
      <c r="F37" s="33">
        <v>8</v>
      </c>
      <c r="G37" s="398" t="s">
        <v>674</v>
      </c>
      <c r="H37" s="396"/>
      <c r="I37" s="396"/>
      <c r="R37" s="384">
        <f t="shared" si="3"/>
        <v>2.9000000000000012</v>
      </c>
      <c r="S37" s="385">
        <f>($S$7-$U$7)/6000*3100+$U$7</f>
        <v>0</v>
      </c>
      <c r="T37" s="384">
        <f t="shared" si="4"/>
        <v>5.899999999999995</v>
      </c>
      <c r="U37" s="385">
        <f>($S$7-$U$7)/6000*100+$U$7</f>
        <v>0</v>
      </c>
    </row>
    <row r="38" spans="2:21">
      <c r="B38" s="399"/>
      <c r="J38" s="396"/>
      <c r="R38" s="387">
        <f>R37+0.1</f>
        <v>3.0000000000000013</v>
      </c>
      <c r="S38" s="385">
        <f>($S$7-$U$7)/6000*3000+$U$7</f>
        <v>0</v>
      </c>
    </row>
    <row r="39" spans="2:21">
      <c r="J39" s="396"/>
    </row>
    <row r="40" spans="2:21">
      <c r="B40" s="572" t="s">
        <v>809</v>
      </c>
    </row>
    <row r="41" spans="2:21">
      <c r="B41" s="572" t="s">
        <v>810</v>
      </c>
    </row>
    <row r="42" spans="2:21">
      <c r="B42" s="572" t="s">
        <v>811</v>
      </c>
    </row>
    <row r="43" spans="2:21">
      <c r="B43" s="573" t="s">
        <v>812</v>
      </c>
    </row>
    <row r="44" spans="2:21">
      <c r="B44" s="573" t="s">
        <v>813</v>
      </c>
    </row>
  </sheetData>
  <sheetProtection sheet="1" objects="1" scenarios="1" selectLockedCells="1"/>
  <mergeCells count="8">
    <mergeCell ref="M4:P5"/>
    <mergeCell ref="R4:U5"/>
    <mergeCell ref="C31:I31"/>
    <mergeCell ref="E33:F34"/>
    <mergeCell ref="C36:D36"/>
    <mergeCell ref="B4:C5"/>
    <mergeCell ref="E4:F5"/>
    <mergeCell ref="H4:K5"/>
  </mergeCells>
  <hyperlinks>
    <hyperlink ref="F2" location="Home!A1" display="Home" xr:uid="{4BC79B81-E59A-4AC8-929A-3C37BE304CB7}"/>
    <hyperlink ref="B43" r:id="rId1" xr:uid="{2540795E-B0D1-4C5D-92D7-3EC84D8DCB64}"/>
    <hyperlink ref="B44" r:id="rId2" xr:uid="{B991E910-55D2-4DA3-AEFF-63FF4FC710D6}"/>
  </hyperlinks>
  <pageMargins left="0.25" right="0.25" top="0.75" bottom="0.75" header="0.3" footer="0.3"/>
  <pageSetup paperSize="9" scale="73" orientation="landscape" horizontalDpi="300" verticalDpi="300"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EF86B-953F-4520-BFC2-5EB289809538}">
  <sheetPr codeName="Sheet8">
    <pageSetUpPr fitToPage="1"/>
  </sheetPr>
  <dimension ref="B2:T39"/>
  <sheetViews>
    <sheetView showGridLines="0" showRowColHeaders="0" workbookViewId="0">
      <selection activeCell="N13" sqref="N13"/>
    </sheetView>
  </sheetViews>
  <sheetFormatPr defaultRowHeight="12.75"/>
  <cols>
    <col min="1" max="1" width="4.7109375" style="403" customWidth="1"/>
    <col min="2" max="2" width="13.7109375" style="403" customWidth="1"/>
    <col min="3" max="3" width="4.85546875" style="403" customWidth="1"/>
    <col min="4" max="4" width="8.85546875" style="403" customWidth="1"/>
    <col min="5" max="5" width="18.7109375" style="403" bestFit="1" customWidth="1"/>
    <col min="6" max="6" width="3.28515625" style="403" customWidth="1"/>
    <col min="7" max="7" width="29" style="403" bestFit="1" customWidth="1"/>
    <col min="8" max="8" width="6.42578125" style="403" customWidth="1"/>
    <col min="9" max="10" width="5.5703125" style="403" customWidth="1"/>
    <col min="11" max="11" width="5.7109375" style="403" customWidth="1"/>
    <col min="12" max="16384" width="9.140625" style="403"/>
  </cols>
  <sheetData>
    <row r="2" spans="2:14" ht="20.25">
      <c r="B2" s="400" t="s">
        <v>164</v>
      </c>
      <c r="C2" s="401"/>
      <c r="D2" s="402"/>
      <c r="E2" s="402"/>
      <c r="G2" s="404"/>
      <c r="N2" s="592" t="s">
        <v>298</v>
      </c>
    </row>
    <row r="5" spans="2:14">
      <c r="B5" s="405" t="s">
        <v>165</v>
      </c>
      <c r="C5" s="405"/>
      <c r="D5" s="405"/>
      <c r="E5" s="405"/>
      <c r="G5" s="405" t="s">
        <v>166</v>
      </c>
      <c r="H5" s="405"/>
      <c r="I5" s="405"/>
      <c r="J5" s="405"/>
    </row>
    <row r="7" spans="2:14">
      <c r="B7" s="406" t="s">
        <v>239</v>
      </c>
      <c r="C7" s="407"/>
      <c r="D7" s="408"/>
      <c r="E7" s="18"/>
      <c r="F7" s="409"/>
      <c r="G7" s="410" t="s">
        <v>167</v>
      </c>
      <c r="H7" s="48">
        <v>49.2</v>
      </c>
      <c r="I7" s="49"/>
      <c r="J7" s="50"/>
    </row>
    <row r="8" spans="2:14">
      <c r="B8" s="406" t="s">
        <v>168</v>
      </c>
      <c r="C8" s="407"/>
      <c r="D8" s="408"/>
      <c r="E8" s="18" t="s">
        <v>285</v>
      </c>
      <c r="F8" s="409"/>
      <c r="G8" s="411" t="s">
        <v>169</v>
      </c>
      <c r="H8" s="48">
        <v>12</v>
      </c>
      <c r="I8" s="49"/>
      <c r="J8" s="50"/>
    </row>
    <row r="9" spans="2:14">
      <c r="B9" s="406" t="s">
        <v>170</v>
      </c>
      <c r="C9" s="407"/>
      <c r="D9" s="408"/>
      <c r="E9" s="18">
        <v>42.1</v>
      </c>
      <c r="F9" s="409"/>
      <c r="G9" s="410" t="s">
        <v>171</v>
      </c>
      <c r="H9" s="51">
        <v>1.6</v>
      </c>
      <c r="I9" s="52"/>
      <c r="J9" s="53"/>
    </row>
    <row r="10" spans="2:14">
      <c r="B10" s="412" t="s">
        <v>172</v>
      </c>
      <c r="C10" s="412"/>
      <c r="D10" s="412"/>
      <c r="E10" s="18">
        <v>69</v>
      </c>
      <c r="F10" s="409"/>
      <c r="G10" s="410" t="s">
        <v>173</v>
      </c>
      <c r="H10" s="413">
        <f>IF(OR(NOT(ISNUMBER(H7)),NOT(ISNUMBER(H9)),H7&lt;=0,H9&lt;=0),"CHECK INPUTS",H7*H9)</f>
        <v>78.720000000000013</v>
      </c>
      <c r="I10" s="414"/>
      <c r="J10" s="415"/>
    </row>
    <row r="11" spans="2:14">
      <c r="B11" s="412" t="s">
        <v>174</v>
      </c>
      <c r="C11" s="412"/>
      <c r="D11" s="412"/>
      <c r="E11" s="18"/>
      <c r="F11" s="409"/>
      <c r="G11" s="410" t="s">
        <v>175</v>
      </c>
      <c r="H11" s="416" t="str">
        <f>IF(OR(NOT(ISNUMBER(E11)),E11&lt;=0,NOT(ISNUMBER(H8)),H8&lt;=0,NOT(ISNUMBER(H10)),H10&lt;=0),"CHECK INPUTS",E11*SQRT(1.2*H8/H10))</f>
        <v>CHECK INPUTS</v>
      </c>
      <c r="I11" s="416"/>
      <c r="J11" s="416"/>
    </row>
    <row r="13" spans="2:14">
      <c r="G13" s="417" t="s">
        <v>240</v>
      </c>
      <c r="H13" s="417"/>
      <c r="I13" s="418" t="str">
        <f>IF(OR(NOT(ISNUMBER(H11)),NOT(ISNUMBER(E11))),"CHECK INPUTS",IF(H11&gt;E11,"Yes","No"))</f>
        <v>CHECK INPUTS</v>
      </c>
      <c r="J13" s="419"/>
    </row>
    <row r="14" spans="2:14">
      <c r="B14" s="420"/>
      <c r="C14" s="420"/>
      <c r="D14" s="420"/>
      <c r="E14" s="420"/>
    </row>
    <row r="15" spans="2:14">
      <c r="B15" s="420"/>
      <c r="C15" s="420"/>
      <c r="D15" s="420"/>
      <c r="E15" s="420"/>
      <c r="G15" s="417" t="s">
        <v>176</v>
      </c>
      <c r="H15" s="417"/>
      <c r="I15" s="421" t="str">
        <f>IF(OR(NOT(ISNUMBER(H11)),NOT(ISNUMBER(E11))),"CHECK INPUTS",MIN(E11,H11))</f>
        <v>CHECK INPUTS</v>
      </c>
      <c r="J15" s="421"/>
      <c r="K15" s="404" t="s">
        <v>177</v>
      </c>
    </row>
    <row r="16" spans="2:14">
      <c r="B16" s="420"/>
      <c r="C16" s="420"/>
      <c r="D16" s="420"/>
      <c r="G16" s="417" t="s">
        <v>178</v>
      </c>
      <c r="H16" s="417"/>
      <c r="I16" s="421" t="str">
        <f>IF(OR(NOT(ISNUMBER(H11)),NOT(ISNUMBER(E11))),"CHECK INPUTS",MIN(E11,H11)*3.6)</f>
        <v>CHECK INPUTS</v>
      </c>
      <c r="J16" s="421"/>
      <c r="K16" s="404" t="s">
        <v>179</v>
      </c>
    </row>
    <row r="17" spans="2:20">
      <c r="B17" s="420"/>
      <c r="C17" s="420"/>
      <c r="D17" s="420"/>
      <c r="E17" s="420"/>
    </row>
    <row r="26" spans="2:20">
      <c r="L26" s="403" t="s">
        <v>180</v>
      </c>
    </row>
    <row r="27" spans="2:20">
      <c r="L27" s="403" t="s">
        <v>181</v>
      </c>
    </row>
    <row r="28" spans="2:20">
      <c r="L28" s="403" t="s">
        <v>182</v>
      </c>
      <c r="M28" s="422"/>
      <c r="N28" s="422"/>
      <c r="O28" s="422"/>
      <c r="P28" s="422"/>
      <c r="Q28" s="422"/>
      <c r="R28" s="422"/>
      <c r="S28" s="422"/>
      <c r="T28" s="422"/>
    </row>
    <row r="29" spans="2:20">
      <c r="F29" s="423"/>
      <c r="G29" s="422"/>
      <c r="H29" s="422"/>
      <c r="I29" s="422"/>
      <c r="J29" s="422"/>
      <c r="L29" s="403" t="s">
        <v>183</v>
      </c>
    </row>
    <row r="30" spans="2:20" s="422" customFormat="1">
      <c r="G30" s="403"/>
      <c r="H30" s="403"/>
      <c r="I30" s="403"/>
      <c r="J30" s="403"/>
    </row>
    <row r="31" spans="2:20">
      <c r="L31" s="403" t="s">
        <v>184</v>
      </c>
    </row>
    <row r="33" spans="2:12" ht="15">
      <c r="B33" s="572" t="s">
        <v>809</v>
      </c>
      <c r="L33" s="403" t="s">
        <v>185</v>
      </c>
    </row>
    <row r="34" spans="2:12" ht="15">
      <c r="B34" s="572" t="s">
        <v>810</v>
      </c>
      <c r="L34" s="403" t="s">
        <v>186</v>
      </c>
    </row>
    <row r="35" spans="2:12" ht="15">
      <c r="B35" s="572" t="s">
        <v>811</v>
      </c>
      <c r="L35" s="403" t="s">
        <v>187</v>
      </c>
    </row>
    <row r="36" spans="2:12" ht="15">
      <c r="B36" s="573" t="s">
        <v>812</v>
      </c>
      <c r="L36" s="403" t="s">
        <v>188</v>
      </c>
    </row>
    <row r="37" spans="2:12" ht="15">
      <c r="B37" s="573" t="s">
        <v>813</v>
      </c>
      <c r="L37" s="403" t="s">
        <v>189</v>
      </c>
    </row>
    <row r="39" spans="2:12">
      <c r="L39" s="403" t="s">
        <v>190</v>
      </c>
    </row>
  </sheetData>
  <sheetProtection sheet="1" objects="1" scenarios="1" selectLockedCells="1"/>
  <mergeCells count="18">
    <mergeCell ref="G13:H13"/>
    <mergeCell ref="I13:J13"/>
    <mergeCell ref="G15:H15"/>
    <mergeCell ref="I15:J15"/>
    <mergeCell ref="G16:H16"/>
    <mergeCell ref="I16:J16"/>
    <mergeCell ref="B9:D9"/>
    <mergeCell ref="H9:J9"/>
    <mergeCell ref="B10:D10"/>
    <mergeCell ref="H10:J10"/>
    <mergeCell ref="B11:D11"/>
    <mergeCell ref="H11:J11"/>
    <mergeCell ref="B5:E5"/>
    <mergeCell ref="G5:J5"/>
    <mergeCell ref="B7:D7"/>
    <mergeCell ref="H7:J7"/>
    <mergeCell ref="B8:D8"/>
    <mergeCell ref="H8:J8"/>
  </mergeCells>
  <dataValidations count="4">
    <dataValidation type="decimal" operator="greaterThan" showInputMessage="1" showErrorMessage="1" errorTitle="Invalid OEM speed" error="OEM wind speed must be a number &gt; 0." sqref="E11" xr:uid="{7C952712-4A07-45B2-9D92-51768D22823B}">
      <formula1>0</formula1>
    </dataValidation>
    <dataValidation type="decimal" operator="greaterThan" showInputMessage="1" showErrorMessage="1" errorTitle="Invalid area" error="Projected area must be a number &gt; 0." sqref="H7" xr:uid="{B7F9D703-62A5-41FF-81FD-5363ED798005}">
      <formula1>0</formula1>
    </dataValidation>
    <dataValidation type="decimal" operator="greaterThan" showInputMessage="1" showErrorMessage="1" errorTitle="Invalid load" error="Load weight must be a number &gt; 0." sqref="H8" xr:uid="{5000EAE2-EA9D-4734-8894-0D51F044017C}">
      <formula1>0</formula1>
    </dataValidation>
    <dataValidation type="decimal" operator="greaterThan" showInputMessage="1" showErrorMessage="1" errorTitle="Invalid coefficient" error="Coefficient of resistance must be a number &gt; 0." sqref="H9" xr:uid="{7A293836-6515-412F-A3FB-CCC7B35634E0}">
      <formula1>0</formula1>
    </dataValidation>
  </dataValidations>
  <hyperlinks>
    <hyperlink ref="N2" location="Home!A1" display="Home" xr:uid="{5E6D9F86-8221-42F5-95BA-F0719F659067}"/>
    <hyperlink ref="B36" r:id="rId1" xr:uid="{2CEA9640-E28B-481F-805A-4127E4868A4B}"/>
    <hyperlink ref="B37" r:id="rId2" xr:uid="{69DE5D9E-9648-4EA5-A615-F2EA03B3E5A4}"/>
  </hyperlinks>
  <pageMargins left="0.25" right="0.25" top="0.75" bottom="0.75" header="0.3" footer="0.3"/>
  <pageSetup paperSize="9" scale="75" orientation="landscape" horizontalDpi="300" verticalDpi="300" r:id="rId3"/>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FB2C8-048A-4BA2-8DB1-E619B4F10881}">
  <sheetPr codeName="Sheet32">
    <pageSetUpPr fitToPage="1"/>
  </sheetPr>
  <dimension ref="B1:AH47"/>
  <sheetViews>
    <sheetView showGridLines="0" showRowColHeaders="0" zoomScale="90" zoomScaleNormal="90" workbookViewId="0">
      <selection activeCell="N13" sqref="N13"/>
      <extLst>
        <ext xmlns:xlsdti="http://schemas.microsoft.com/office/spreadsheetml/2023/showDataTypeIcons" uri="{77bfe23e-c014-4d31-8a63-9c772dbf06b6}">
          <xlsdti:showDataTypeIcons visible="0"/>
        </ext>
      </extLst>
    </sheetView>
  </sheetViews>
  <sheetFormatPr defaultRowHeight="12"/>
  <cols>
    <col min="1" max="1" width="5.7109375" style="283" customWidth="1"/>
    <col min="2" max="2" width="2.28515625" style="283" customWidth="1"/>
    <col min="3" max="18" width="5.28515625" style="283" customWidth="1"/>
    <col min="19" max="19" width="2.42578125" style="283" customWidth="1"/>
    <col min="20" max="26" width="9.140625" style="283" customWidth="1"/>
    <col min="27" max="33" width="9.140625" style="283"/>
    <col min="34" max="34" width="0" style="283" hidden="1" customWidth="1"/>
    <col min="35" max="16384" width="9.140625" style="283"/>
  </cols>
  <sheetData>
    <row r="1" spans="2:34" ht="18" customHeight="1"/>
    <row r="2" spans="2:34" ht="18" customHeight="1">
      <c r="C2" s="66" t="s">
        <v>640</v>
      </c>
      <c r="AC2" s="592" t="s">
        <v>298</v>
      </c>
    </row>
    <row r="3" spans="2:34" ht="18" customHeight="1">
      <c r="C3" s="424" t="s">
        <v>641</v>
      </c>
    </row>
    <row r="4" spans="2:34" ht="18" customHeight="1">
      <c r="C4" s="424"/>
    </row>
    <row r="5" spans="2:34" ht="5.0999999999999996" customHeight="1">
      <c r="B5" s="309"/>
      <c r="C5" s="425"/>
      <c r="D5" s="425"/>
      <c r="E5" s="425"/>
      <c r="F5" s="425"/>
      <c r="G5" s="425"/>
      <c r="H5" s="426"/>
      <c r="I5" s="426"/>
      <c r="J5" s="426"/>
      <c r="K5" s="426"/>
      <c r="L5" s="426"/>
      <c r="M5" s="426"/>
      <c r="N5" s="427"/>
      <c r="U5" s="428" t="s">
        <v>642</v>
      </c>
      <c r="V5" s="429"/>
      <c r="W5" s="429"/>
      <c r="X5" s="429"/>
      <c r="Y5" s="429"/>
      <c r="Z5" s="429"/>
      <c r="AA5" s="429"/>
      <c r="AB5" s="429"/>
      <c r="AC5" s="429"/>
      <c r="AD5" s="430"/>
    </row>
    <row r="6" spans="2:34" ht="18" customHeight="1">
      <c r="B6" s="311"/>
      <c r="C6" s="431" t="s">
        <v>643</v>
      </c>
      <c r="D6" s="432"/>
      <c r="E6" s="432"/>
      <c r="F6" s="432"/>
      <c r="G6" s="432"/>
      <c r="N6" s="433"/>
      <c r="O6" s="298" t="s">
        <v>644</v>
      </c>
      <c r="P6" s="298"/>
      <c r="Q6" s="298"/>
      <c r="R6" s="298"/>
      <c r="U6" s="434"/>
      <c r="V6" s="264"/>
      <c r="W6" s="264"/>
      <c r="X6" s="264"/>
      <c r="Y6" s="264"/>
      <c r="Z6" s="264"/>
      <c r="AA6" s="264"/>
      <c r="AB6" s="264"/>
      <c r="AC6" s="264"/>
      <c r="AD6" s="435"/>
    </row>
    <row r="7" spans="2:34" ht="6.95" customHeight="1">
      <c r="B7" s="311"/>
      <c r="D7" s="432"/>
      <c r="E7" s="432"/>
      <c r="F7" s="432"/>
      <c r="G7" s="432"/>
      <c r="N7" s="433"/>
      <c r="O7" s="298"/>
      <c r="P7" s="298"/>
      <c r="Q7" s="298"/>
      <c r="R7" s="298"/>
      <c r="U7" s="434"/>
      <c r="V7" s="264"/>
      <c r="W7" s="264"/>
      <c r="X7" s="264"/>
      <c r="Y7" s="264"/>
      <c r="Z7" s="264"/>
      <c r="AA7" s="264"/>
      <c r="AB7" s="264"/>
      <c r="AC7" s="264"/>
      <c r="AD7" s="435"/>
    </row>
    <row r="8" spans="2:34" ht="18" customHeight="1">
      <c r="B8" s="311"/>
      <c r="C8" s="432" t="s">
        <v>645</v>
      </c>
      <c r="D8" s="432"/>
      <c r="E8" s="436" t="s">
        <v>646</v>
      </c>
      <c r="F8" s="437"/>
      <c r="G8" s="54"/>
      <c r="H8" s="54"/>
      <c r="I8" s="283" t="s">
        <v>1</v>
      </c>
      <c r="N8" s="433"/>
      <c r="O8" s="298"/>
      <c r="P8" s="298"/>
      <c r="Q8" s="298"/>
      <c r="R8" s="298"/>
      <c r="U8" s="434"/>
      <c r="V8" s="264"/>
      <c r="W8" s="264"/>
      <c r="X8" s="264"/>
      <c r="Y8" s="264"/>
      <c r="Z8" s="264"/>
      <c r="AA8" s="264"/>
      <c r="AB8" s="264"/>
      <c r="AC8" s="264"/>
      <c r="AD8" s="435"/>
      <c r="AH8" s="283">
        <f>COUNTA(G8)</f>
        <v>0</v>
      </c>
    </row>
    <row r="9" spans="2:34" ht="18" customHeight="1">
      <c r="B9" s="311"/>
      <c r="C9" s="284" t="s">
        <v>647</v>
      </c>
      <c r="E9" s="438" t="s">
        <v>581</v>
      </c>
      <c r="F9" s="439"/>
      <c r="G9" s="46">
        <v>450</v>
      </c>
      <c r="H9" s="46"/>
      <c r="I9" s="283" t="s">
        <v>648</v>
      </c>
      <c r="J9" s="438" t="s">
        <v>599</v>
      </c>
      <c r="K9" s="439"/>
      <c r="L9" s="55">
        <v>300</v>
      </c>
      <c r="M9" s="56"/>
      <c r="N9" s="433" t="s">
        <v>1</v>
      </c>
      <c r="O9" s="298"/>
      <c r="P9" s="298"/>
      <c r="Q9" s="298"/>
      <c r="R9" s="298"/>
      <c r="U9" s="440"/>
      <c r="V9" s="441"/>
      <c r="W9" s="441"/>
      <c r="X9" s="441"/>
      <c r="Y9" s="441"/>
      <c r="Z9" s="441"/>
      <c r="AA9" s="441"/>
      <c r="AB9" s="441"/>
      <c r="AC9" s="441"/>
      <c r="AD9" s="442"/>
      <c r="AH9" s="283">
        <f>COUNTA(G9,L9)</f>
        <v>2</v>
      </c>
    </row>
    <row r="10" spans="2:34" ht="5.0999999999999996" customHeight="1">
      <c r="B10" s="443"/>
      <c r="C10" s="444"/>
      <c r="D10" s="445"/>
      <c r="E10" s="446"/>
      <c r="F10" s="446"/>
      <c r="G10" s="446"/>
      <c r="H10" s="446"/>
      <c r="I10" s="445"/>
      <c r="J10" s="446"/>
      <c r="K10" s="446"/>
      <c r="L10" s="446"/>
      <c r="M10" s="446"/>
      <c r="N10" s="447"/>
      <c r="O10" s="298"/>
      <c r="P10" s="298"/>
      <c r="Q10" s="298"/>
      <c r="R10" s="298"/>
      <c r="AH10" s="283">
        <f>COUNTA(E16,G16,I16,K16,M16,O16,Q16)</f>
        <v>0</v>
      </c>
    </row>
    <row r="11" spans="2:34" ht="18" customHeight="1">
      <c r="C11" s="284"/>
      <c r="E11" s="88"/>
      <c r="F11" s="88"/>
      <c r="G11" s="88"/>
      <c r="H11" s="88"/>
      <c r="J11" s="88"/>
      <c r="K11" s="88"/>
      <c r="L11" s="88"/>
      <c r="M11" s="88"/>
      <c r="AH11" s="283">
        <f>COUNTA(F20,H20,J20,L20)</f>
        <v>4</v>
      </c>
    </row>
    <row r="12" spans="2:34" ht="5.0999999999999996" customHeight="1">
      <c r="B12" s="309"/>
      <c r="C12" s="426"/>
      <c r="D12" s="426"/>
      <c r="E12" s="426"/>
      <c r="F12" s="426"/>
      <c r="G12" s="426"/>
      <c r="H12" s="426"/>
      <c r="I12" s="426"/>
      <c r="J12" s="426"/>
      <c r="K12" s="426"/>
      <c r="L12" s="426"/>
      <c r="M12" s="426"/>
      <c r="N12" s="426"/>
      <c r="O12" s="426"/>
      <c r="P12" s="426"/>
      <c r="Q12" s="426"/>
      <c r="R12" s="426"/>
      <c r="S12" s="427"/>
      <c r="AH12" s="283">
        <f>COUNTA(F24,H24,J24)</f>
        <v>0</v>
      </c>
    </row>
    <row r="13" spans="2:34" ht="18" customHeight="1">
      <c r="B13" s="311"/>
      <c r="C13" s="284" t="s">
        <v>649</v>
      </c>
      <c r="G13" s="448"/>
      <c r="S13" s="433"/>
    </row>
    <row r="14" spans="2:34" ht="6.95" customHeight="1">
      <c r="B14" s="311"/>
      <c r="S14" s="433"/>
    </row>
    <row r="15" spans="2:34" ht="18" customHeight="1">
      <c r="B15" s="311"/>
      <c r="C15" s="449" t="s">
        <v>650</v>
      </c>
      <c r="D15" s="450"/>
      <c r="E15" s="96" t="s">
        <v>54</v>
      </c>
      <c r="F15" s="96"/>
      <c r="G15" s="96" t="s">
        <v>651</v>
      </c>
      <c r="H15" s="96"/>
      <c r="I15" s="96" t="s">
        <v>652</v>
      </c>
      <c r="J15" s="96"/>
      <c r="K15" s="96" t="s">
        <v>653</v>
      </c>
      <c r="L15" s="96"/>
      <c r="M15" s="96" t="s">
        <v>654</v>
      </c>
      <c r="N15" s="96"/>
      <c r="O15" s="96" t="s">
        <v>655</v>
      </c>
      <c r="P15" s="96"/>
      <c r="Q15" s="96" t="s">
        <v>656</v>
      </c>
      <c r="R15" s="96"/>
      <c r="S15" s="433"/>
      <c r="AH15" s="283">
        <f>IF(G8&lt;&gt;"",PI()*(G8/2)^2,IF(AND(G9&lt;&gt;"",L9&lt;&gt;""),G9*L9,""))</f>
        <v>135000</v>
      </c>
    </row>
    <row r="16" spans="2:34" ht="18" customHeight="1">
      <c r="B16" s="311"/>
      <c r="E16" s="46"/>
      <c r="F16" s="46"/>
      <c r="G16" s="46"/>
      <c r="H16" s="46"/>
      <c r="I16" s="46"/>
      <c r="J16" s="46"/>
      <c r="K16" s="46"/>
      <c r="L16" s="46"/>
      <c r="M16" s="46"/>
      <c r="N16" s="46"/>
      <c r="O16" s="46"/>
      <c r="P16" s="46"/>
      <c r="Q16" s="46"/>
      <c r="R16" s="46"/>
      <c r="S16" s="433"/>
      <c r="AH16" s="283">
        <f>IFERROR(IF(AND(ISNUMBER(E16),E16&gt;0,ISNUMBER(G16),G16&gt;0,ISNUMBER(I16),I16&gt;0,ISNUMBER(K16),K16&gt;=1,K16=INT(K16),ISNUMBER(Q16),Q16&gt;0,OR(M16="",AND(ISNUMBER(M16),M16&gt;=1,M16=INT(M16))),OR(O16="",AND(ISNUMBER(O16),O16&gt;=1,O16=INT(O16),ISNUMBER(M16),M16&gt;=1,M16=INT(M16))),AH11=0,AH12=0),1,IF(AND(ISNUMBER(F20),F20&gt;0,ISNUMBER(H20),H20&gt;0,ISNUMBER(J20),J20&gt;0,ISNUMBER(L20),L20&gt;0,AH10=0,AH12=0),2,IF(AND(ISNUMBER(F24),F24&gt;0,ISNUMBER(H24),H24&gt;0,ISNUMBER(J24),J24&gt;0,AH10=0,AH11=0),3,0))),0)</f>
        <v>2</v>
      </c>
    </row>
    <row r="17" spans="2:34" ht="18" customHeight="1">
      <c r="B17" s="311"/>
      <c r="E17" s="451" t="s">
        <v>1</v>
      </c>
      <c r="F17" s="451"/>
      <c r="G17" s="451" t="s">
        <v>1</v>
      </c>
      <c r="H17" s="451"/>
      <c r="I17" s="451" t="s">
        <v>1</v>
      </c>
      <c r="J17" s="451"/>
      <c r="K17" s="451" t="s">
        <v>657</v>
      </c>
      <c r="L17" s="451"/>
      <c r="M17" s="451" t="s">
        <v>657</v>
      </c>
      <c r="N17" s="451"/>
      <c r="O17" s="451" t="s">
        <v>657</v>
      </c>
      <c r="P17" s="451"/>
      <c r="Q17" s="451" t="s">
        <v>381</v>
      </c>
      <c r="R17" s="451"/>
      <c r="S17" s="433"/>
      <c r="AH17" s="283">
        <f>IF(AH16=1,I16*((K16&gt;0)+(M16&gt;0)+(O16&gt;0)),IF(AH16=2,J20,IF(AH16=3,0,"")))</f>
        <v>200</v>
      </c>
    </row>
    <row r="18" spans="2:34" ht="6.95" customHeight="1">
      <c r="B18" s="311"/>
      <c r="S18" s="433"/>
      <c r="AH18" s="283">
        <f>IF(AH16=1,E16*K16*G16,IF(AH16=2,F20*H20,IF(AH16=3,F24*H24,"")))</f>
        <v>3600000</v>
      </c>
    </row>
    <row r="19" spans="2:34" ht="18" customHeight="1">
      <c r="B19" s="311"/>
      <c r="C19" s="452" t="s">
        <v>658</v>
      </c>
      <c r="D19" s="452"/>
      <c r="E19" s="452"/>
      <c r="F19" s="96" t="s">
        <v>54</v>
      </c>
      <c r="G19" s="96"/>
      <c r="H19" s="96" t="s">
        <v>651</v>
      </c>
      <c r="I19" s="96"/>
      <c r="J19" s="96" t="s">
        <v>652</v>
      </c>
      <c r="K19" s="96"/>
      <c r="L19" s="96" t="s">
        <v>656</v>
      </c>
      <c r="M19" s="96"/>
      <c r="S19" s="433"/>
      <c r="AH19" s="283">
        <f>IF(AH16=0,"",IF(AND(ISNUMBER(G8),G8&gt;0,G9="",L9=""),PI()*((G8+2*AH17)/2)^2,IF(AND(G8="",ISNUMBER(G9),G9&gt;0,ISNUMBER(L9),L9&gt;0),(G9+2*AH17)*(L9+2*AH17)-(4-PI())*AH17^2,"")))</f>
        <v>560663.70614359179</v>
      </c>
    </row>
    <row r="20" spans="2:34" ht="18" customHeight="1">
      <c r="B20" s="311"/>
      <c r="C20" s="452"/>
      <c r="D20" s="452"/>
      <c r="E20" s="452"/>
      <c r="F20" s="46">
        <v>2000</v>
      </c>
      <c r="G20" s="46"/>
      <c r="H20" s="46">
        <v>1800</v>
      </c>
      <c r="I20" s="46"/>
      <c r="J20" s="46">
        <v>200</v>
      </c>
      <c r="K20" s="46"/>
      <c r="L20" s="46">
        <v>1</v>
      </c>
      <c r="M20" s="46"/>
      <c r="O20" s="298" t="s">
        <v>644</v>
      </c>
      <c r="P20" s="298"/>
      <c r="Q20" s="298"/>
      <c r="R20" s="298"/>
      <c r="S20" s="433"/>
      <c r="AH20" s="283">
        <f>IF(AH16=3,IF(AND(ISNUMBER(AH18),AH18&gt;0),AH18,""),IF(AND(OR(AH16=1,AH16=2),ISNUMBER(AH19),AH19&gt;0,ISNUMBER(AH18),AH18&gt;0),MIN(AH19,AH18),""))</f>
        <v>560663.70614359179</v>
      </c>
    </row>
    <row r="21" spans="2:34" ht="18" customHeight="1">
      <c r="B21" s="311"/>
      <c r="F21" s="451" t="s">
        <v>1</v>
      </c>
      <c r="G21" s="451"/>
      <c r="H21" s="451" t="s">
        <v>1</v>
      </c>
      <c r="I21" s="451"/>
      <c r="J21" s="451" t="s">
        <v>1</v>
      </c>
      <c r="K21" s="451"/>
      <c r="L21" s="451" t="s">
        <v>333</v>
      </c>
      <c r="M21" s="451"/>
      <c r="O21" s="298"/>
      <c r="P21" s="298"/>
      <c r="Q21" s="298"/>
      <c r="R21" s="298"/>
      <c r="S21" s="433"/>
      <c r="AH21" s="283">
        <f>IF(AND(AH16&gt;=1,AH16&lt;=3,ISNUMBER(AH20),AH20&gt;0),AH20/1000000,"")</f>
        <v>0.56066370614359173</v>
      </c>
    </row>
    <row r="22" spans="2:34" ht="6.95" customHeight="1">
      <c r="B22" s="311"/>
      <c r="O22" s="298"/>
      <c r="P22" s="298"/>
      <c r="Q22" s="298"/>
      <c r="R22" s="298"/>
      <c r="S22" s="433"/>
    </row>
    <row r="23" spans="2:34" ht="18" customHeight="1">
      <c r="B23" s="311"/>
      <c r="C23" s="452" t="s">
        <v>659</v>
      </c>
      <c r="D23" s="452"/>
      <c r="E23" s="452"/>
      <c r="F23" s="96" t="s">
        <v>54</v>
      </c>
      <c r="G23" s="96"/>
      <c r="H23" s="96" t="s">
        <v>651</v>
      </c>
      <c r="I23" s="96"/>
      <c r="J23" s="96" t="s">
        <v>656</v>
      </c>
      <c r="K23" s="96"/>
      <c r="M23" s="453"/>
      <c r="N23" s="453"/>
      <c r="O23" s="298"/>
      <c r="P23" s="298"/>
      <c r="Q23" s="298"/>
      <c r="R23" s="298"/>
      <c r="S23" s="433"/>
    </row>
    <row r="24" spans="2:34" ht="18" customHeight="1">
      <c r="B24" s="311"/>
      <c r="C24" s="452"/>
      <c r="D24" s="452"/>
      <c r="E24" s="452"/>
      <c r="F24" s="55"/>
      <c r="G24" s="56"/>
      <c r="H24" s="55"/>
      <c r="I24" s="56"/>
      <c r="J24" s="55"/>
      <c r="K24" s="56"/>
      <c r="O24" s="298"/>
      <c r="P24" s="298"/>
      <c r="Q24" s="298"/>
      <c r="R24" s="298"/>
      <c r="S24" s="433"/>
    </row>
    <row r="25" spans="2:34" ht="18" customHeight="1">
      <c r="B25" s="311"/>
      <c r="F25" s="451" t="s">
        <v>1</v>
      </c>
      <c r="G25" s="451"/>
      <c r="H25" s="451" t="s">
        <v>1</v>
      </c>
      <c r="I25" s="451"/>
      <c r="J25" s="451" t="s">
        <v>333</v>
      </c>
      <c r="K25" s="451"/>
      <c r="S25" s="433"/>
    </row>
    <row r="26" spans="2:34" ht="5.0999999999999996" customHeight="1">
      <c r="B26" s="443"/>
      <c r="C26" s="445"/>
      <c r="D26" s="445"/>
      <c r="E26" s="445"/>
      <c r="F26" s="445"/>
      <c r="G26" s="445"/>
      <c r="H26" s="445"/>
      <c r="I26" s="445"/>
      <c r="J26" s="445"/>
      <c r="K26" s="445"/>
      <c r="L26" s="445"/>
      <c r="M26" s="445"/>
      <c r="N26" s="445"/>
      <c r="O26" s="445"/>
      <c r="P26" s="445"/>
      <c r="Q26" s="445"/>
      <c r="R26" s="445"/>
      <c r="S26" s="447"/>
    </row>
    <row r="27" spans="2:34" ht="18" customHeight="1"/>
    <row r="28" spans="2:34" ht="18" customHeight="1">
      <c r="C28" s="449" t="s">
        <v>660</v>
      </c>
      <c r="D28" s="449"/>
      <c r="E28" s="449"/>
      <c r="F28" s="449"/>
      <c r="G28" s="449"/>
      <c r="H28" s="55">
        <v>30</v>
      </c>
      <c r="I28" s="56"/>
      <c r="J28" s="283" t="s">
        <v>381</v>
      </c>
      <c r="L28" s="428" t="s">
        <v>661</v>
      </c>
      <c r="M28" s="454"/>
      <c r="N28" s="454"/>
      <c r="O28" s="454"/>
      <c r="P28" s="454"/>
      <c r="Q28" s="455"/>
    </row>
    <row r="29" spans="2:34" ht="18" customHeight="1">
      <c r="C29" s="181"/>
      <c r="D29" s="181"/>
      <c r="E29" s="181"/>
      <c r="F29" s="181"/>
      <c r="G29" s="181"/>
      <c r="H29" s="88"/>
      <c r="I29" s="88"/>
      <c r="L29" s="456"/>
      <c r="M29" s="457"/>
      <c r="N29" s="457"/>
      <c r="O29" s="457"/>
      <c r="P29" s="457"/>
      <c r="Q29" s="458"/>
    </row>
    <row r="30" spans="2:34" ht="18" customHeight="1">
      <c r="C30" s="181"/>
      <c r="D30" s="181"/>
      <c r="E30" s="181"/>
      <c r="F30" s="181"/>
      <c r="G30" s="181"/>
      <c r="H30" s="88"/>
      <c r="I30" s="88"/>
      <c r="L30" s="459"/>
      <c r="M30" s="459"/>
      <c r="N30" s="459"/>
      <c r="O30" s="459"/>
      <c r="P30" s="459"/>
      <c r="Q30" s="459"/>
    </row>
    <row r="31" spans="2:34" ht="18" customHeight="1">
      <c r="C31" s="460" t="s">
        <v>662</v>
      </c>
      <c r="D31" s="460"/>
      <c r="E31" s="460"/>
      <c r="F31" s="460"/>
      <c r="G31" s="460"/>
      <c r="H31" s="461">
        <f>IF(AND(ISNUMBER(AH21),AH21&gt;0),AH21,"CHECK INPUTS")</f>
        <v>0.56066370614359173</v>
      </c>
      <c r="I31" s="462"/>
      <c r="J31" s="68" t="s">
        <v>663</v>
      </c>
      <c r="L31" s="463"/>
      <c r="M31" s="463"/>
      <c r="N31" s="463"/>
      <c r="O31" s="463"/>
      <c r="P31" s="463"/>
      <c r="Q31" s="463"/>
    </row>
    <row r="32" spans="2:34" ht="18" customHeight="1">
      <c r="C32" s="449" t="s">
        <v>664</v>
      </c>
      <c r="D32" s="449"/>
      <c r="E32" s="449"/>
      <c r="F32" s="449"/>
      <c r="G32" s="449"/>
      <c r="H32" s="464">
        <f>IF(AND(G8&lt;&gt;"",OR(G9&lt;&gt;"",L9&lt;&gt;"")),"ERROR!",IF(AND(ISNUMBER(H28),H28&gt;0,ISNUMBER(AH21),AH21&gt;0),IF(AH16=1,(H28+Q16)/AH21,IF(AH16=2,(H28+L20)/AH21,IF(AH16=3,(H28+J24)/AH21,"CHECK INPUTS"))),"CHECK INPUTS"))</f>
        <v>55.291611817049883</v>
      </c>
      <c r="I32" s="104"/>
      <c r="J32" s="283" t="s">
        <v>665</v>
      </c>
    </row>
    <row r="33" spans="2:30" ht="18" customHeight="1">
      <c r="C33" s="449"/>
      <c r="D33" s="449"/>
      <c r="E33" s="449"/>
      <c r="F33" s="449"/>
      <c r="G33" s="449"/>
      <c r="H33" s="465">
        <f>IF(AND(G8&lt;&gt;"",OR(G9&lt;&gt;"",L9&lt;&gt;"")),"ERROR!",IF(ISNUMBER(H32),H32*9.80665,"CHECK INPUTS"))</f>
        <v>542.22548502567224</v>
      </c>
      <c r="I33" s="104"/>
      <c r="J33" s="283" t="s">
        <v>543</v>
      </c>
    </row>
    <row r="34" spans="2:30" ht="18" customHeight="1"/>
    <row r="35" spans="2:30" ht="18" customHeight="1"/>
    <row r="36" spans="2:30" ht="18" customHeight="1"/>
    <row r="37" spans="2:30" ht="18" customHeight="1">
      <c r="U37" s="466" t="s">
        <v>666</v>
      </c>
      <c r="V37" s="467"/>
      <c r="W37" s="467"/>
      <c r="X37" s="467"/>
      <c r="Y37" s="467"/>
      <c r="Z37" s="467"/>
      <c r="AA37" s="467"/>
      <c r="AB37" s="467"/>
      <c r="AC37" s="467"/>
      <c r="AD37" s="468"/>
    </row>
    <row r="38" spans="2:30" ht="18" customHeight="1">
      <c r="U38" s="365"/>
      <c r="V38" s="345"/>
      <c r="W38" s="345"/>
      <c r="X38" s="345"/>
      <c r="Y38" s="345"/>
      <c r="Z38" s="345"/>
      <c r="AA38" s="345"/>
      <c r="AB38" s="345"/>
      <c r="AC38" s="345"/>
      <c r="AD38" s="366"/>
    </row>
    <row r="39" spans="2:30" ht="18" customHeight="1">
      <c r="B39" s="572" t="s">
        <v>809</v>
      </c>
      <c r="U39" s="365"/>
      <c r="V39" s="345"/>
      <c r="W39" s="345"/>
      <c r="X39" s="345"/>
      <c r="Y39" s="345"/>
      <c r="Z39" s="345"/>
      <c r="AA39" s="345"/>
      <c r="AB39" s="345"/>
      <c r="AC39" s="345"/>
      <c r="AD39" s="366"/>
    </row>
    <row r="40" spans="2:30" ht="18" customHeight="1">
      <c r="B40" s="572" t="s">
        <v>810</v>
      </c>
      <c r="U40" s="367"/>
      <c r="V40" s="368"/>
      <c r="W40" s="368"/>
      <c r="X40" s="368"/>
      <c r="Y40" s="368"/>
      <c r="Z40" s="368"/>
      <c r="AA40" s="368"/>
      <c r="AB40" s="368"/>
      <c r="AC40" s="368"/>
      <c r="AD40" s="369"/>
    </row>
    <row r="41" spans="2:30" ht="18" customHeight="1">
      <c r="B41" s="572" t="s">
        <v>811</v>
      </c>
      <c r="U41" s="582"/>
      <c r="V41" s="582"/>
      <c r="W41" s="582"/>
      <c r="X41" s="582"/>
      <c r="Y41" s="582"/>
      <c r="Z41" s="582"/>
      <c r="AA41" s="582"/>
    </row>
    <row r="42" spans="2:30" ht="18" customHeight="1">
      <c r="B42" s="573" t="s">
        <v>812</v>
      </c>
      <c r="U42" s="582"/>
      <c r="V42" s="582"/>
      <c r="W42" s="582"/>
      <c r="X42" s="582"/>
      <c r="Y42" s="582"/>
      <c r="Z42" s="582"/>
      <c r="AA42" s="582"/>
    </row>
    <row r="43" spans="2:30" ht="18" customHeight="1">
      <c r="B43" s="573" t="s">
        <v>813</v>
      </c>
    </row>
    <row r="44" spans="2:30" ht="18" customHeight="1"/>
    <row r="45" spans="2:30" ht="18" customHeight="1"/>
    <row r="46" spans="2:30" ht="18" customHeight="1"/>
    <row r="47" spans="2:30" ht="18" customHeight="1"/>
  </sheetData>
  <sheetProtection sheet="1" objects="1" scenarios="1" selectLockedCells="1"/>
  <mergeCells count="63">
    <mergeCell ref="F25:G25"/>
    <mergeCell ref="H25:I25"/>
    <mergeCell ref="J25:K25"/>
    <mergeCell ref="U37:AD40"/>
    <mergeCell ref="L28:Q29"/>
    <mergeCell ref="C31:G31"/>
    <mergeCell ref="H31:I31"/>
    <mergeCell ref="C32:G33"/>
    <mergeCell ref="H32:I32"/>
    <mergeCell ref="H33:I33"/>
    <mergeCell ref="C28:G28"/>
    <mergeCell ref="H28:I28"/>
    <mergeCell ref="O20:R24"/>
    <mergeCell ref="F21:G21"/>
    <mergeCell ref="H21:I21"/>
    <mergeCell ref="J21:K21"/>
    <mergeCell ref="L21:M21"/>
    <mergeCell ref="H24:I24"/>
    <mergeCell ref="J24:K24"/>
    <mergeCell ref="C23:E24"/>
    <mergeCell ref="F23:G23"/>
    <mergeCell ref="H23:I23"/>
    <mergeCell ref="J23:K23"/>
    <mergeCell ref="F24:G24"/>
    <mergeCell ref="Q17:R17"/>
    <mergeCell ref="C19:E20"/>
    <mergeCell ref="F19:G19"/>
    <mergeCell ref="H19:I19"/>
    <mergeCell ref="J19:K19"/>
    <mergeCell ref="L19:M19"/>
    <mergeCell ref="F20:G20"/>
    <mergeCell ref="H20:I20"/>
    <mergeCell ref="J20:K20"/>
    <mergeCell ref="L20:M20"/>
    <mergeCell ref="E17:F17"/>
    <mergeCell ref="G17:H17"/>
    <mergeCell ref="I17:J17"/>
    <mergeCell ref="K17:L17"/>
    <mergeCell ref="M17:N17"/>
    <mergeCell ref="O17:P17"/>
    <mergeCell ref="O15:P15"/>
    <mergeCell ref="Q15:R15"/>
    <mergeCell ref="E16:F16"/>
    <mergeCell ref="G16:H16"/>
    <mergeCell ref="I16:J16"/>
    <mergeCell ref="K16:L16"/>
    <mergeCell ref="M16:N16"/>
    <mergeCell ref="O16:P16"/>
    <mergeCell ref="Q16:R16"/>
    <mergeCell ref="M15:N15"/>
    <mergeCell ref="C15:D15"/>
    <mergeCell ref="E15:F15"/>
    <mergeCell ref="G15:H15"/>
    <mergeCell ref="I15:J15"/>
    <mergeCell ref="K15:L15"/>
    <mergeCell ref="U5:AD9"/>
    <mergeCell ref="O6:R10"/>
    <mergeCell ref="E8:F8"/>
    <mergeCell ref="G8:H8"/>
    <mergeCell ref="E9:F9"/>
    <mergeCell ref="G9:H9"/>
    <mergeCell ref="J9:K9"/>
    <mergeCell ref="L9:M9"/>
  </mergeCells>
  <dataValidations count="12">
    <dataValidation type="custom" allowBlank="1" showInputMessage="1" showErrorMessage="1" errorTitle="Invalid input" error="Cannot enter data in more than one pad type." sqref="J24" xr:uid="{3B26D4C2-B674-41E8-B924-A128A2D5EB14}">
      <formula1>AND(ISNUMBER(J24),J24&gt;=0,$AH$10=0,$AH$11=0)</formula1>
    </dataValidation>
    <dataValidation type="custom" allowBlank="1" showInputMessage="1" showErrorMessage="1" errorTitle="Invalid input" error="Cannot enter data in more than one pad type." sqref="F24 H24" xr:uid="{D03E7D88-1ABC-4337-B871-64988CBD7A08}">
      <formula1>AND(ISNUMBER(F24),F24&gt;0,$AH$10=0,$AH$11=0)</formula1>
    </dataValidation>
    <dataValidation type="custom" allowBlank="1" showInputMessage="1" showErrorMessage="1" errorTitle="Invalid input" error="Cannot enter data in more than one pad type." sqref="L20" xr:uid="{6EA59568-52AF-4AF8-AA62-02DA9DA6C7A0}">
      <formula1>AND(ISNUMBER(L20),L20&gt;=0,$AH$10=0,$AH$12=0)</formula1>
    </dataValidation>
    <dataValidation type="custom" allowBlank="1" showInputMessage="1" showErrorMessage="1" errorTitle="Invalid input" error="Cannot enter data in more than one pad type." sqref="F20 J20 H20" xr:uid="{CAFCC8ED-4A33-4676-A3F5-9FDB5615B796}">
      <formula1>AND(ISNUMBER(F20),F20&gt;0,$AH$10=0,$AH$12=0)</formula1>
    </dataValidation>
    <dataValidation type="custom" allowBlank="1" showInputMessage="1" showErrorMessage="1" errorTitle="Invalid input" error="Cannot enter data in more than one pad type." sqref="Q16" xr:uid="{7DE768BD-AC5D-4900-94EE-7F5D1E74F094}">
      <formula1>AND(ISNUMBER(Q16),Q16&gt;=0,$AH$11=0,$AH$12=0)</formula1>
    </dataValidation>
    <dataValidation type="custom" allowBlank="1" showInputMessage="1" showErrorMessage="1" errorTitle="Invalid input" error="Layer 2 must be filled first. Cannot enter data in more than one pad type." sqref="O16" xr:uid="{CC93F41C-21A6-4937-A64F-AEEC32173C24}">
      <formula1>AND(ISNUMBER(O16),O16&gt;=1,INT(O16)=O16,M16&gt;=1,$AH$11=0,$AH$12=0)</formula1>
    </dataValidation>
    <dataValidation type="custom" allowBlank="1" showInputMessage="1" showErrorMessage="1" errorTitle="Invalid input" error="On ground layer must be filled first. Cannot enter data in more than one pad type." sqref="M16" xr:uid="{214AC07A-36B2-4D7B-93D6-AA5F12ABB8C2}">
      <formula1>AND(ISNUMBER(M16),M16&gt;=1,INT(M16)=M16,K16&gt;=1,$AH$11=0,$AH$12=0)</formula1>
    </dataValidation>
    <dataValidation type="custom" allowBlank="1" showInputMessage="1" showErrorMessage="1" errorTitle="Invalid input" error="Cannot enter data in more than one pad type." sqref="K16" xr:uid="{1E01E987-745B-4879-8B3E-5032D2D859A4}">
      <formula1>AND(ISNUMBER(K16),K16&gt;=1,INT(K16)=K16,$AH$11=0,$AH$12=0)</formula1>
    </dataValidation>
    <dataValidation type="custom" allowBlank="1" showInputMessage="1" showErrorMessage="1" errorTitle="Invalid input" error="Cannot enter data in more than one pad type." sqref="E16 I16 G16" xr:uid="{C0FA8601-E2CE-4AD7-A247-18BB538FF35A}">
      <formula1>AND(ISNUMBER(E16),E16&gt;0,$AH$11=0,$AH$12=0)</formula1>
    </dataValidation>
    <dataValidation type="custom" allowBlank="1" showInputMessage="1" showErrorMessage="1" errorTitle="Invalid input" error="Cannot enter data for both round and square." sqref="G9 L9" xr:uid="{FE6E258B-3449-4618-B447-FBC49530AB98}">
      <formula1>AND(ISNUMBER(G9),G9&gt;0,$AH$8=0)</formula1>
    </dataValidation>
    <dataValidation type="custom" allowBlank="1" showInputMessage="1" showErrorMessage="1" errorTitle="Invalid input" error="Cannot enter data for both round and square." sqref="G8" xr:uid="{0948BC2C-7FC7-4DDF-8C43-87CD3DC364F3}">
      <formula1>AND(ISNUMBER(G8),G8&gt;0,$AH$9=0)</formula1>
    </dataValidation>
    <dataValidation type="decimal" operator="greaterThan" allowBlank="1" showInputMessage="1" showErrorMessage="1" errorTitle="Invalid entry" error="Max jack down force must be greater than 0." sqref="H28" xr:uid="{4F75701B-DE41-4940-9DAD-04F6EC03CA5B}">
      <formula1>0</formula1>
    </dataValidation>
  </dataValidations>
  <hyperlinks>
    <hyperlink ref="AC2" location="Home!A1" display="Home" xr:uid="{2D933D18-844E-49D1-BF30-904B2401A585}"/>
    <hyperlink ref="B42" r:id="rId1" xr:uid="{631D5B57-9F66-4581-9AE3-08F07C089169}"/>
    <hyperlink ref="B43" r:id="rId2" xr:uid="{75DC3A98-EDF9-4272-BDB6-C6058F07B49F}"/>
  </hyperlinks>
  <pageMargins left="0.25" right="0.25" top="0.75" bottom="0.75" header="0.3" footer="0.3"/>
  <pageSetup paperSize="9" scale="75" orientation="landscape" horizontalDpi="300" verticalDpi="300" r:id="rId3"/>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90101-2EAE-4C5C-9302-8B534820AE02}">
  <sheetPr codeName="Sheet10">
    <pageSetUpPr fitToPage="1"/>
  </sheetPr>
  <dimension ref="B2:K37"/>
  <sheetViews>
    <sheetView showGridLines="0" showRowColHeaders="0" workbookViewId="0">
      <selection activeCell="N13" sqref="N13"/>
    </sheetView>
  </sheetViews>
  <sheetFormatPr defaultRowHeight="12.75"/>
  <cols>
    <col min="1" max="1" width="3.28515625" style="469" customWidth="1"/>
    <col min="2" max="2" width="21" style="469" customWidth="1"/>
    <col min="3" max="3" width="9.140625" style="469"/>
    <col min="4" max="4" width="4.140625" style="469" customWidth="1"/>
    <col min="5" max="8" width="9.140625" style="469"/>
    <col min="9" max="9" width="3.42578125" style="469" customWidth="1"/>
    <col min="10" max="10" width="13.28515625" style="469" bestFit="1" customWidth="1"/>
    <col min="11" max="16384" width="9.140625" style="469"/>
  </cols>
  <sheetData>
    <row r="2" spans="2:11" ht="20.25">
      <c r="B2" s="66" t="s">
        <v>191</v>
      </c>
      <c r="J2" s="592" t="s">
        <v>298</v>
      </c>
    </row>
    <row r="4" spans="2:11" s="423" customFormat="1">
      <c r="B4" s="470" t="s">
        <v>192</v>
      </c>
      <c r="C4" s="18"/>
      <c r="E4" s="471" t="s">
        <v>295</v>
      </c>
    </row>
    <row r="5" spans="2:11" s="423" customFormat="1">
      <c r="B5" s="470" t="s">
        <v>193</v>
      </c>
      <c r="C5" s="18"/>
      <c r="D5" s="472"/>
      <c r="E5" s="473" t="s">
        <v>291</v>
      </c>
      <c r="F5" s="472"/>
      <c r="G5" s="472"/>
      <c r="H5" s="472"/>
      <c r="I5" s="472"/>
      <c r="J5" s="472"/>
      <c r="K5" s="472"/>
    </row>
    <row r="6" spans="2:11" s="423" customFormat="1">
      <c r="B6" s="470" t="s">
        <v>157</v>
      </c>
      <c r="C6" s="18"/>
      <c r="E6" s="471" t="s">
        <v>292</v>
      </c>
      <c r="J6" s="472"/>
      <c r="K6" s="472"/>
    </row>
    <row r="7" spans="2:11" s="423" customFormat="1">
      <c r="B7" s="470" t="s">
        <v>194</v>
      </c>
      <c r="C7" s="474" t="str">
        <f>IF(OR(C6="",NOT(ISNUMBER(C6))),"",IFERROR(INDEX($H$12:$H$31,MATCH(C6,$G$12:$G$31,0)),"CHECK INPUTS"))</f>
        <v/>
      </c>
      <c r="D7" s="472"/>
      <c r="E7" s="473" t="s">
        <v>195</v>
      </c>
      <c r="F7" s="472"/>
      <c r="G7" s="472"/>
      <c r="H7" s="472"/>
      <c r="J7" s="472"/>
      <c r="K7" s="472"/>
    </row>
    <row r="8" spans="2:11" s="423" customFormat="1">
      <c r="E8" s="471"/>
      <c r="G8" s="472"/>
      <c r="H8" s="472"/>
      <c r="J8" s="472"/>
      <c r="K8" s="472"/>
    </row>
    <row r="9" spans="2:11" s="423" customFormat="1">
      <c r="B9" s="475" t="s">
        <v>196</v>
      </c>
      <c r="C9" s="476" t="str">
        <f>IF(COUNTA(C4:C6)&lt;3,"",IF(OR(NOT(ISNUMBER(C4)),C4&lt;=0,NOT(ISNUMBER(C5)),C5&lt;=0,NOT(ISNUMBER(C6)),C6&lt;&gt;INT(C6),C6&lt;1,C6&gt;20,NOT(ISNUMBER(C7))),"CHECK INPUTS",C4*C5*C6*C7))</f>
        <v/>
      </c>
      <c r="D9" s="475" t="s">
        <v>42</v>
      </c>
      <c r="G9" s="472"/>
      <c r="H9" s="472"/>
      <c r="J9" s="472"/>
      <c r="K9" s="472"/>
    </row>
    <row r="10" spans="2:11">
      <c r="G10" s="477"/>
      <c r="H10" s="477"/>
      <c r="J10" s="477"/>
      <c r="K10" s="477"/>
    </row>
    <row r="11" spans="2:11">
      <c r="G11" s="478" t="s">
        <v>197</v>
      </c>
      <c r="H11" s="478" t="s">
        <v>194</v>
      </c>
      <c r="J11" s="479" t="s">
        <v>152</v>
      </c>
      <c r="K11" s="478" t="s">
        <v>116</v>
      </c>
    </row>
    <row r="12" spans="2:11">
      <c r="G12" s="478">
        <v>1</v>
      </c>
      <c r="H12" s="480">
        <v>1.31</v>
      </c>
      <c r="J12" s="478">
        <v>13</v>
      </c>
      <c r="K12" s="478">
        <v>0.85</v>
      </c>
    </row>
    <row r="13" spans="2:11">
      <c r="D13" s="469" t="s">
        <v>198</v>
      </c>
      <c r="G13" s="478">
        <v>2</v>
      </c>
      <c r="H13" s="480">
        <v>1.34</v>
      </c>
      <c r="J13" s="478">
        <v>15</v>
      </c>
      <c r="K13" s="478">
        <v>1.1200000000000001</v>
      </c>
    </row>
    <row r="14" spans="2:11">
      <c r="G14" s="478">
        <v>3</v>
      </c>
      <c r="H14" s="480">
        <v>1.36</v>
      </c>
      <c r="J14" s="478">
        <v>17</v>
      </c>
      <c r="K14" s="478">
        <v>1.45</v>
      </c>
    </row>
    <row r="15" spans="2:11">
      <c r="G15" s="478">
        <v>4</v>
      </c>
      <c r="H15" s="480">
        <v>1.39</v>
      </c>
      <c r="J15" s="478">
        <v>19</v>
      </c>
      <c r="K15" s="478">
        <v>1.81</v>
      </c>
    </row>
    <row r="16" spans="2:11">
      <c r="G16" s="478">
        <v>5</v>
      </c>
      <c r="H16" s="480">
        <v>1.41</v>
      </c>
      <c r="J16" s="478">
        <v>21</v>
      </c>
      <c r="K16" s="478">
        <v>2.2400000000000002</v>
      </c>
    </row>
    <row r="17" spans="7:11">
      <c r="G17" s="478">
        <v>6</v>
      </c>
      <c r="H17" s="480">
        <v>1.44</v>
      </c>
      <c r="J17" s="478">
        <v>23</v>
      </c>
      <c r="K17" s="478">
        <v>2.67</v>
      </c>
    </row>
    <row r="18" spans="7:11">
      <c r="G18" s="478">
        <v>7</v>
      </c>
      <c r="H18" s="480">
        <v>1.46</v>
      </c>
      <c r="J18" s="478">
        <v>25</v>
      </c>
      <c r="K18" s="478">
        <v>3.09</v>
      </c>
    </row>
    <row r="19" spans="7:11">
      <c r="G19" s="478">
        <v>8</v>
      </c>
      <c r="H19" s="480">
        <v>1.49</v>
      </c>
      <c r="J19" s="478">
        <v>28</v>
      </c>
      <c r="K19" s="478">
        <v>3.94</v>
      </c>
    </row>
    <row r="20" spans="7:11">
      <c r="G20" s="478">
        <v>9</v>
      </c>
      <c r="H20" s="480">
        <v>1.52</v>
      </c>
      <c r="J20" s="478">
        <v>32</v>
      </c>
      <c r="K20" s="478">
        <v>5.09</v>
      </c>
    </row>
    <row r="21" spans="7:11">
      <c r="G21" s="478">
        <v>10</v>
      </c>
      <c r="H21" s="480">
        <v>1.54</v>
      </c>
      <c r="J21" s="478">
        <v>38</v>
      </c>
      <c r="K21" s="478">
        <v>7.21</v>
      </c>
    </row>
    <row r="22" spans="7:11">
      <c r="G22" s="478">
        <v>11</v>
      </c>
      <c r="H22" s="480">
        <v>1.57</v>
      </c>
      <c r="J22" s="478">
        <v>40</v>
      </c>
      <c r="K22" s="478">
        <v>7.99</v>
      </c>
    </row>
    <row r="23" spans="7:11">
      <c r="G23" s="478">
        <v>12</v>
      </c>
      <c r="H23" s="480">
        <v>1.6</v>
      </c>
      <c r="J23" s="478">
        <v>52</v>
      </c>
      <c r="K23" s="478">
        <v>13.5</v>
      </c>
    </row>
    <row r="24" spans="7:11">
      <c r="G24" s="478">
        <v>13</v>
      </c>
      <c r="H24" s="480">
        <v>1.63</v>
      </c>
    </row>
    <row r="25" spans="7:11">
      <c r="G25" s="478">
        <v>14</v>
      </c>
      <c r="H25" s="480">
        <v>1.65</v>
      </c>
    </row>
    <row r="26" spans="7:11">
      <c r="G26" s="478">
        <v>15</v>
      </c>
      <c r="H26" s="480">
        <v>1.68</v>
      </c>
    </row>
    <row r="27" spans="7:11">
      <c r="G27" s="478">
        <v>16</v>
      </c>
      <c r="H27" s="480">
        <v>1.71</v>
      </c>
    </row>
    <row r="28" spans="7:11">
      <c r="G28" s="478">
        <v>17</v>
      </c>
      <c r="H28" s="480">
        <v>1.74</v>
      </c>
    </row>
    <row r="29" spans="7:11">
      <c r="G29" s="478">
        <v>18</v>
      </c>
      <c r="H29" s="480">
        <v>1.77</v>
      </c>
    </row>
    <row r="30" spans="7:11">
      <c r="G30" s="478">
        <v>19</v>
      </c>
      <c r="H30" s="480">
        <v>1.8</v>
      </c>
    </row>
    <row r="31" spans="7:11">
      <c r="G31" s="478">
        <v>20</v>
      </c>
      <c r="H31" s="480">
        <v>1.83</v>
      </c>
    </row>
    <row r="33" spans="2:2" ht="15">
      <c r="B33" s="572" t="s">
        <v>809</v>
      </c>
    </row>
    <row r="34" spans="2:2" ht="15">
      <c r="B34" s="572" t="s">
        <v>810</v>
      </c>
    </row>
    <row r="35" spans="2:2" ht="15">
      <c r="B35" s="572" t="s">
        <v>811</v>
      </c>
    </row>
    <row r="36" spans="2:2" ht="15">
      <c r="B36" s="573" t="s">
        <v>812</v>
      </c>
    </row>
    <row r="37" spans="2:2" ht="15">
      <c r="B37" s="573" t="s">
        <v>813</v>
      </c>
    </row>
  </sheetData>
  <sheetProtection sheet="1" objects="1" scenarios="1" selectLockedCells="1"/>
  <dataValidations count="3">
    <dataValidation type="decimal" operator="greaterThan" showInputMessage="1" showErrorMessage="1" errorTitle="Invalid input" error="Required value must be a number &gt; 0." sqref="C4" xr:uid="{D0008F92-6D43-498A-ABC7-4A9512390972}">
      <formula1>0</formula1>
    </dataValidation>
    <dataValidation type="decimal" operator="greaterThan" showInputMessage="1" showErrorMessage="1" errorTitle="Invalid input" error="Required value must be a number &gt; 0." sqref="C5" xr:uid="{8BB8E54D-F759-4AEC-89F9-8B0B2D1C265C}">
      <formula1>0</formula1>
    </dataValidation>
    <dataValidation type="whole" showInputMessage="1" showErrorMessage="1" errorTitle="Invalid reeving" error="Reeving falls must be a whole number from 1 to 20." sqref="C6" xr:uid="{D1441E68-CEEC-4A7A-A9F0-9A707CA8C2FF}">
      <formula1>1</formula1>
      <formula2>20</formula2>
    </dataValidation>
  </dataValidations>
  <hyperlinks>
    <hyperlink ref="J2" location="Home!A1" display="Home" xr:uid="{63684BDD-3694-4BC9-A80D-790376AC189C}"/>
    <hyperlink ref="B36" r:id="rId1" xr:uid="{0ABB5CCE-7A84-4746-9C35-97ECCC2468E4}"/>
    <hyperlink ref="B37" r:id="rId2" xr:uid="{D5D1DA37-1068-4DC8-A65C-D55D7C90D24F}"/>
  </hyperlinks>
  <pageMargins left="0.25" right="0.25" top="0.75" bottom="0.75" header="0.3" footer="0.3"/>
  <pageSetup paperSize="9" orientation="landscape" horizontalDpi="300" verticalDpi="300"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3AB0F-5A2E-4BA7-8A03-22C530508DE5}">
  <sheetPr codeName="Sheet12">
    <pageSetUpPr fitToPage="1"/>
  </sheetPr>
  <dimension ref="B2:O38"/>
  <sheetViews>
    <sheetView showGridLines="0" showRowColHeaders="0" workbookViewId="0">
      <selection activeCell="N13" sqref="N13"/>
    </sheetView>
  </sheetViews>
  <sheetFormatPr defaultRowHeight="15"/>
  <cols>
    <col min="1" max="1" width="9.140625" style="68"/>
    <col min="2" max="2" width="10.42578125" style="68" customWidth="1"/>
    <col min="3" max="3" width="12.140625" style="68" customWidth="1"/>
    <col min="4" max="4" width="11.85546875" style="68" customWidth="1"/>
    <col min="5" max="5" width="12.28515625" style="68" customWidth="1"/>
    <col min="6" max="6" width="10.7109375" style="68" customWidth="1"/>
    <col min="7" max="7" width="9.140625" style="68"/>
    <col min="8" max="8" width="7.42578125" style="68" customWidth="1"/>
    <col min="9" max="9" width="9.140625" style="68"/>
    <col min="10" max="10" width="12.28515625" style="68" customWidth="1"/>
    <col min="11" max="11" width="13.7109375" style="68" customWidth="1"/>
    <col min="12" max="13" width="14.140625" style="68" customWidth="1"/>
    <col min="14" max="14" width="13.5703125" style="68" customWidth="1"/>
    <col min="15" max="15" width="12.85546875" style="68" customWidth="1"/>
    <col min="16" max="255" width="9.140625" style="68"/>
    <col min="256" max="256" width="10.42578125" style="68" customWidth="1"/>
    <col min="257" max="257" width="12.140625" style="68" customWidth="1"/>
    <col min="258" max="258" width="11.85546875" style="68" customWidth="1"/>
    <col min="259" max="259" width="12.28515625" style="68" customWidth="1"/>
    <col min="260" max="260" width="10.7109375" style="68" customWidth="1"/>
    <col min="261" max="261" width="9.140625" style="68"/>
    <col min="262" max="262" width="7.42578125" style="68" customWidth="1"/>
    <col min="263" max="263" width="9.140625" style="68"/>
    <col min="264" max="264" width="12.28515625" style="68" customWidth="1"/>
    <col min="265" max="265" width="13.7109375" style="68" customWidth="1"/>
    <col min="266" max="267" width="14.140625" style="68" customWidth="1"/>
    <col min="268" max="268" width="13.5703125" style="68" customWidth="1"/>
    <col min="269" max="511" width="9.140625" style="68"/>
    <col min="512" max="512" width="10.42578125" style="68" customWidth="1"/>
    <col min="513" max="513" width="12.140625" style="68" customWidth="1"/>
    <col min="514" max="514" width="11.85546875" style="68" customWidth="1"/>
    <col min="515" max="515" width="12.28515625" style="68" customWidth="1"/>
    <col min="516" max="516" width="10.7109375" style="68" customWidth="1"/>
    <col min="517" max="517" width="9.140625" style="68"/>
    <col min="518" max="518" width="7.42578125" style="68" customWidth="1"/>
    <col min="519" max="519" width="9.140625" style="68"/>
    <col min="520" max="520" width="12.28515625" style="68" customWidth="1"/>
    <col min="521" max="521" width="13.7109375" style="68" customWidth="1"/>
    <col min="522" max="523" width="14.140625" style="68" customWidth="1"/>
    <col min="524" max="524" width="13.5703125" style="68" customWidth="1"/>
    <col min="525" max="767" width="9.140625" style="68"/>
    <col min="768" max="768" width="10.42578125" style="68" customWidth="1"/>
    <col min="769" max="769" width="12.140625" style="68" customWidth="1"/>
    <col min="770" max="770" width="11.85546875" style="68" customWidth="1"/>
    <col min="771" max="771" width="12.28515625" style="68" customWidth="1"/>
    <col min="772" max="772" width="10.7109375" style="68" customWidth="1"/>
    <col min="773" max="773" width="9.140625" style="68"/>
    <col min="774" max="774" width="7.42578125" style="68" customWidth="1"/>
    <col min="775" max="775" width="9.140625" style="68"/>
    <col min="776" max="776" width="12.28515625" style="68" customWidth="1"/>
    <col min="777" max="777" width="13.7109375" style="68" customWidth="1"/>
    <col min="778" max="779" width="14.140625" style="68" customWidth="1"/>
    <col min="780" max="780" width="13.5703125" style="68" customWidth="1"/>
    <col min="781" max="1023" width="9.140625" style="68"/>
    <col min="1024" max="1024" width="10.42578125" style="68" customWidth="1"/>
    <col min="1025" max="1025" width="12.140625" style="68" customWidth="1"/>
    <col min="1026" max="1026" width="11.85546875" style="68" customWidth="1"/>
    <col min="1027" max="1027" width="12.28515625" style="68" customWidth="1"/>
    <col min="1028" max="1028" width="10.7109375" style="68" customWidth="1"/>
    <col min="1029" max="1029" width="9.140625" style="68"/>
    <col min="1030" max="1030" width="7.42578125" style="68" customWidth="1"/>
    <col min="1031" max="1031" width="9.140625" style="68"/>
    <col min="1032" max="1032" width="12.28515625" style="68" customWidth="1"/>
    <col min="1033" max="1033" width="13.7109375" style="68" customWidth="1"/>
    <col min="1034" max="1035" width="14.140625" style="68" customWidth="1"/>
    <col min="1036" max="1036" width="13.5703125" style="68" customWidth="1"/>
    <col min="1037" max="1279" width="9.140625" style="68"/>
    <col min="1280" max="1280" width="10.42578125" style="68" customWidth="1"/>
    <col min="1281" max="1281" width="12.140625" style="68" customWidth="1"/>
    <col min="1282" max="1282" width="11.85546875" style="68" customWidth="1"/>
    <col min="1283" max="1283" width="12.28515625" style="68" customWidth="1"/>
    <col min="1284" max="1284" width="10.7109375" style="68" customWidth="1"/>
    <col min="1285" max="1285" width="9.140625" style="68"/>
    <col min="1286" max="1286" width="7.42578125" style="68" customWidth="1"/>
    <col min="1287" max="1287" width="9.140625" style="68"/>
    <col min="1288" max="1288" width="12.28515625" style="68" customWidth="1"/>
    <col min="1289" max="1289" width="13.7109375" style="68" customWidth="1"/>
    <col min="1290" max="1291" width="14.140625" style="68" customWidth="1"/>
    <col min="1292" max="1292" width="13.5703125" style="68" customWidth="1"/>
    <col min="1293" max="1535" width="9.140625" style="68"/>
    <col min="1536" max="1536" width="10.42578125" style="68" customWidth="1"/>
    <col min="1537" max="1537" width="12.140625" style="68" customWidth="1"/>
    <col min="1538" max="1538" width="11.85546875" style="68" customWidth="1"/>
    <col min="1539" max="1539" width="12.28515625" style="68" customWidth="1"/>
    <col min="1540" max="1540" width="10.7109375" style="68" customWidth="1"/>
    <col min="1541" max="1541" width="9.140625" style="68"/>
    <col min="1542" max="1542" width="7.42578125" style="68" customWidth="1"/>
    <col min="1543" max="1543" width="9.140625" style="68"/>
    <col min="1544" max="1544" width="12.28515625" style="68" customWidth="1"/>
    <col min="1545" max="1545" width="13.7109375" style="68" customWidth="1"/>
    <col min="1546" max="1547" width="14.140625" style="68" customWidth="1"/>
    <col min="1548" max="1548" width="13.5703125" style="68" customWidth="1"/>
    <col min="1549" max="1791" width="9.140625" style="68"/>
    <col min="1792" max="1792" width="10.42578125" style="68" customWidth="1"/>
    <col min="1793" max="1793" width="12.140625" style="68" customWidth="1"/>
    <col min="1794" max="1794" width="11.85546875" style="68" customWidth="1"/>
    <col min="1795" max="1795" width="12.28515625" style="68" customWidth="1"/>
    <col min="1796" max="1796" width="10.7109375" style="68" customWidth="1"/>
    <col min="1797" max="1797" width="9.140625" style="68"/>
    <col min="1798" max="1798" width="7.42578125" style="68" customWidth="1"/>
    <col min="1799" max="1799" width="9.140625" style="68"/>
    <col min="1800" max="1800" width="12.28515625" style="68" customWidth="1"/>
    <col min="1801" max="1801" width="13.7109375" style="68" customWidth="1"/>
    <col min="1802" max="1803" width="14.140625" style="68" customWidth="1"/>
    <col min="1804" max="1804" width="13.5703125" style="68" customWidth="1"/>
    <col min="1805" max="2047" width="9.140625" style="68"/>
    <col min="2048" max="2048" width="10.42578125" style="68" customWidth="1"/>
    <col min="2049" max="2049" width="12.140625" style="68" customWidth="1"/>
    <col min="2050" max="2050" width="11.85546875" style="68" customWidth="1"/>
    <col min="2051" max="2051" width="12.28515625" style="68" customWidth="1"/>
    <col min="2052" max="2052" width="10.7109375" style="68" customWidth="1"/>
    <col min="2053" max="2053" width="9.140625" style="68"/>
    <col min="2054" max="2054" width="7.42578125" style="68" customWidth="1"/>
    <col min="2055" max="2055" width="9.140625" style="68"/>
    <col min="2056" max="2056" width="12.28515625" style="68" customWidth="1"/>
    <col min="2057" max="2057" width="13.7109375" style="68" customWidth="1"/>
    <col min="2058" max="2059" width="14.140625" style="68" customWidth="1"/>
    <col min="2060" max="2060" width="13.5703125" style="68" customWidth="1"/>
    <col min="2061" max="2303" width="9.140625" style="68"/>
    <col min="2304" max="2304" width="10.42578125" style="68" customWidth="1"/>
    <col min="2305" max="2305" width="12.140625" style="68" customWidth="1"/>
    <col min="2306" max="2306" width="11.85546875" style="68" customWidth="1"/>
    <col min="2307" max="2307" width="12.28515625" style="68" customWidth="1"/>
    <col min="2308" max="2308" width="10.7109375" style="68" customWidth="1"/>
    <col min="2309" max="2309" width="9.140625" style="68"/>
    <col min="2310" max="2310" width="7.42578125" style="68" customWidth="1"/>
    <col min="2311" max="2311" width="9.140625" style="68"/>
    <col min="2312" max="2312" width="12.28515625" style="68" customWidth="1"/>
    <col min="2313" max="2313" width="13.7109375" style="68" customWidth="1"/>
    <col min="2314" max="2315" width="14.140625" style="68" customWidth="1"/>
    <col min="2316" max="2316" width="13.5703125" style="68" customWidth="1"/>
    <col min="2317" max="2559" width="9.140625" style="68"/>
    <col min="2560" max="2560" width="10.42578125" style="68" customWidth="1"/>
    <col min="2561" max="2561" width="12.140625" style="68" customWidth="1"/>
    <col min="2562" max="2562" width="11.85546875" style="68" customWidth="1"/>
    <col min="2563" max="2563" width="12.28515625" style="68" customWidth="1"/>
    <col min="2564" max="2564" width="10.7109375" style="68" customWidth="1"/>
    <col min="2565" max="2565" width="9.140625" style="68"/>
    <col min="2566" max="2566" width="7.42578125" style="68" customWidth="1"/>
    <col min="2567" max="2567" width="9.140625" style="68"/>
    <col min="2568" max="2568" width="12.28515625" style="68" customWidth="1"/>
    <col min="2569" max="2569" width="13.7109375" style="68" customWidth="1"/>
    <col min="2570" max="2571" width="14.140625" style="68" customWidth="1"/>
    <col min="2572" max="2572" width="13.5703125" style="68" customWidth="1"/>
    <col min="2573" max="2815" width="9.140625" style="68"/>
    <col min="2816" max="2816" width="10.42578125" style="68" customWidth="1"/>
    <col min="2817" max="2817" width="12.140625" style="68" customWidth="1"/>
    <col min="2818" max="2818" width="11.85546875" style="68" customWidth="1"/>
    <col min="2819" max="2819" width="12.28515625" style="68" customWidth="1"/>
    <col min="2820" max="2820" width="10.7109375" style="68" customWidth="1"/>
    <col min="2821" max="2821" width="9.140625" style="68"/>
    <col min="2822" max="2822" width="7.42578125" style="68" customWidth="1"/>
    <col min="2823" max="2823" width="9.140625" style="68"/>
    <col min="2824" max="2824" width="12.28515625" style="68" customWidth="1"/>
    <col min="2825" max="2825" width="13.7109375" style="68" customWidth="1"/>
    <col min="2826" max="2827" width="14.140625" style="68" customWidth="1"/>
    <col min="2828" max="2828" width="13.5703125" style="68" customWidth="1"/>
    <col min="2829" max="3071" width="9.140625" style="68"/>
    <col min="3072" max="3072" width="10.42578125" style="68" customWidth="1"/>
    <col min="3073" max="3073" width="12.140625" style="68" customWidth="1"/>
    <col min="3074" max="3074" width="11.85546875" style="68" customWidth="1"/>
    <col min="3075" max="3075" width="12.28515625" style="68" customWidth="1"/>
    <col min="3076" max="3076" width="10.7109375" style="68" customWidth="1"/>
    <col min="3077" max="3077" width="9.140625" style="68"/>
    <col min="3078" max="3078" width="7.42578125" style="68" customWidth="1"/>
    <col min="3079" max="3079" width="9.140625" style="68"/>
    <col min="3080" max="3080" width="12.28515625" style="68" customWidth="1"/>
    <col min="3081" max="3081" width="13.7109375" style="68" customWidth="1"/>
    <col min="3082" max="3083" width="14.140625" style="68" customWidth="1"/>
    <col min="3084" max="3084" width="13.5703125" style="68" customWidth="1"/>
    <col min="3085" max="3327" width="9.140625" style="68"/>
    <col min="3328" max="3328" width="10.42578125" style="68" customWidth="1"/>
    <col min="3329" max="3329" width="12.140625" style="68" customWidth="1"/>
    <col min="3330" max="3330" width="11.85546875" style="68" customWidth="1"/>
    <col min="3331" max="3331" width="12.28515625" style="68" customWidth="1"/>
    <col min="3332" max="3332" width="10.7109375" style="68" customWidth="1"/>
    <col min="3333" max="3333" width="9.140625" style="68"/>
    <col min="3334" max="3334" width="7.42578125" style="68" customWidth="1"/>
    <col min="3335" max="3335" width="9.140625" style="68"/>
    <col min="3336" max="3336" width="12.28515625" style="68" customWidth="1"/>
    <col min="3337" max="3337" width="13.7109375" style="68" customWidth="1"/>
    <col min="3338" max="3339" width="14.140625" style="68" customWidth="1"/>
    <col min="3340" max="3340" width="13.5703125" style="68" customWidth="1"/>
    <col min="3341" max="3583" width="9.140625" style="68"/>
    <col min="3584" max="3584" width="10.42578125" style="68" customWidth="1"/>
    <col min="3585" max="3585" width="12.140625" style="68" customWidth="1"/>
    <col min="3586" max="3586" width="11.85546875" style="68" customWidth="1"/>
    <col min="3587" max="3587" width="12.28515625" style="68" customWidth="1"/>
    <col min="3588" max="3588" width="10.7109375" style="68" customWidth="1"/>
    <col min="3589" max="3589" width="9.140625" style="68"/>
    <col min="3590" max="3590" width="7.42578125" style="68" customWidth="1"/>
    <col min="3591" max="3591" width="9.140625" style="68"/>
    <col min="3592" max="3592" width="12.28515625" style="68" customWidth="1"/>
    <col min="3593" max="3593" width="13.7109375" style="68" customWidth="1"/>
    <col min="3594" max="3595" width="14.140625" style="68" customWidth="1"/>
    <col min="3596" max="3596" width="13.5703125" style="68" customWidth="1"/>
    <col min="3597" max="3839" width="9.140625" style="68"/>
    <col min="3840" max="3840" width="10.42578125" style="68" customWidth="1"/>
    <col min="3841" max="3841" width="12.140625" style="68" customWidth="1"/>
    <col min="3842" max="3842" width="11.85546875" style="68" customWidth="1"/>
    <col min="3843" max="3843" width="12.28515625" style="68" customWidth="1"/>
    <col min="3844" max="3844" width="10.7109375" style="68" customWidth="1"/>
    <col min="3845" max="3845" width="9.140625" style="68"/>
    <col min="3846" max="3846" width="7.42578125" style="68" customWidth="1"/>
    <col min="3847" max="3847" width="9.140625" style="68"/>
    <col min="3848" max="3848" width="12.28515625" style="68" customWidth="1"/>
    <col min="3849" max="3849" width="13.7109375" style="68" customWidth="1"/>
    <col min="3850" max="3851" width="14.140625" style="68" customWidth="1"/>
    <col min="3852" max="3852" width="13.5703125" style="68" customWidth="1"/>
    <col min="3853" max="4095" width="9.140625" style="68"/>
    <col min="4096" max="4096" width="10.42578125" style="68" customWidth="1"/>
    <col min="4097" max="4097" width="12.140625" style="68" customWidth="1"/>
    <col min="4098" max="4098" width="11.85546875" style="68" customWidth="1"/>
    <col min="4099" max="4099" width="12.28515625" style="68" customWidth="1"/>
    <col min="4100" max="4100" width="10.7109375" style="68" customWidth="1"/>
    <col min="4101" max="4101" width="9.140625" style="68"/>
    <col min="4102" max="4102" width="7.42578125" style="68" customWidth="1"/>
    <col min="4103" max="4103" width="9.140625" style="68"/>
    <col min="4104" max="4104" width="12.28515625" style="68" customWidth="1"/>
    <col min="4105" max="4105" width="13.7109375" style="68" customWidth="1"/>
    <col min="4106" max="4107" width="14.140625" style="68" customWidth="1"/>
    <col min="4108" max="4108" width="13.5703125" style="68" customWidth="1"/>
    <col min="4109" max="4351" width="9.140625" style="68"/>
    <col min="4352" max="4352" width="10.42578125" style="68" customWidth="1"/>
    <col min="4353" max="4353" width="12.140625" style="68" customWidth="1"/>
    <col min="4354" max="4354" width="11.85546875" style="68" customWidth="1"/>
    <col min="4355" max="4355" width="12.28515625" style="68" customWidth="1"/>
    <col min="4356" max="4356" width="10.7109375" style="68" customWidth="1"/>
    <col min="4357" max="4357" width="9.140625" style="68"/>
    <col min="4358" max="4358" width="7.42578125" style="68" customWidth="1"/>
    <col min="4359" max="4359" width="9.140625" style="68"/>
    <col min="4360" max="4360" width="12.28515625" style="68" customWidth="1"/>
    <col min="4361" max="4361" width="13.7109375" style="68" customWidth="1"/>
    <col min="4362" max="4363" width="14.140625" style="68" customWidth="1"/>
    <col min="4364" max="4364" width="13.5703125" style="68" customWidth="1"/>
    <col min="4365" max="4607" width="9.140625" style="68"/>
    <col min="4608" max="4608" width="10.42578125" style="68" customWidth="1"/>
    <col min="4609" max="4609" width="12.140625" style="68" customWidth="1"/>
    <col min="4610" max="4610" width="11.85546875" style="68" customWidth="1"/>
    <col min="4611" max="4611" width="12.28515625" style="68" customWidth="1"/>
    <col min="4612" max="4612" width="10.7109375" style="68" customWidth="1"/>
    <col min="4613" max="4613" width="9.140625" style="68"/>
    <col min="4614" max="4614" width="7.42578125" style="68" customWidth="1"/>
    <col min="4615" max="4615" width="9.140625" style="68"/>
    <col min="4616" max="4616" width="12.28515625" style="68" customWidth="1"/>
    <col min="4617" max="4617" width="13.7109375" style="68" customWidth="1"/>
    <col min="4618" max="4619" width="14.140625" style="68" customWidth="1"/>
    <col min="4620" max="4620" width="13.5703125" style="68" customWidth="1"/>
    <col min="4621" max="4863" width="9.140625" style="68"/>
    <col min="4864" max="4864" width="10.42578125" style="68" customWidth="1"/>
    <col min="4865" max="4865" width="12.140625" style="68" customWidth="1"/>
    <col min="4866" max="4866" width="11.85546875" style="68" customWidth="1"/>
    <col min="4867" max="4867" width="12.28515625" style="68" customWidth="1"/>
    <col min="4868" max="4868" width="10.7109375" style="68" customWidth="1"/>
    <col min="4869" max="4869" width="9.140625" style="68"/>
    <col min="4870" max="4870" width="7.42578125" style="68" customWidth="1"/>
    <col min="4871" max="4871" width="9.140625" style="68"/>
    <col min="4872" max="4872" width="12.28515625" style="68" customWidth="1"/>
    <col min="4873" max="4873" width="13.7109375" style="68" customWidth="1"/>
    <col min="4874" max="4875" width="14.140625" style="68" customWidth="1"/>
    <col min="4876" max="4876" width="13.5703125" style="68" customWidth="1"/>
    <col min="4877" max="5119" width="9.140625" style="68"/>
    <col min="5120" max="5120" width="10.42578125" style="68" customWidth="1"/>
    <col min="5121" max="5121" width="12.140625" style="68" customWidth="1"/>
    <col min="5122" max="5122" width="11.85546875" style="68" customWidth="1"/>
    <col min="5123" max="5123" width="12.28515625" style="68" customWidth="1"/>
    <col min="5124" max="5124" width="10.7109375" style="68" customWidth="1"/>
    <col min="5125" max="5125" width="9.140625" style="68"/>
    <col min="5126" max="5126" width="7.42578125" style="68" customWidth="1"/>
    <col min="5127" max="5127" width="9.140625" style="68"/>
    <col min="5128" max="5128" width="12.28515625" style="68" customWidth="1"/>
    <col min="5129" max="5129" width="13.7109375" style="68" customWidth="1"/>
    <col min="5130" max="5131" width="14.140625" style="68" customWidth="1"/>
    <col min="5132" max="5132" width="13.5703125" style="68" customWidth="1"/>
    <col min="5133" max="5375" width="9.140625" style="68"/>
    <col min="5376" max="5376" width="10.42578125" style="68" customWidth="1"/>
    <col min="5377" max="5377" width="12.140625" style="68" customWidth="1"/>
    <col min="5378" max="5378" width="11.85546875" style="68" customWidth="1"/>
    <col min="5379" max="5379" width="12.28515625" style="68" customWidth="1"/>
    <col min="5380" max="5380" width="10.7109375" style="68" customWidth="1"/>
    <col min="5381" max="5381" width="9.140625" style="68"/>
    <col min="5382" max="5382" width="7.42578125" style="68" customWidth="1"/>
    <col min="5383" max="5383" width="9.140625" style="68"/>
    <col min="5384" max="5384" width="12.28515625" style="68" customWidth="1"/>
    <col min="5385" max="5385" width="13.7109375" style="68" customWidth="1"/>
    <col min="5386" max="5387" width="14.140625" style="68" customWidth="1"/>
    <col min="5388" max="5388" width="13.5703125" style="68" customWidth="1"/>
    <col min="5389" max="5631" width="9.140625" style="68"/>
    <col min="5632" max="5632" width="10.42578125" style="68" customWidth="1"/>
    <col min="5633" max="5633" width="12.140625" style="68" customWidth="1"/>
    <col min="5634" max="5634" width="11.85546875" style="68" customWidth="1"/>
    <col min="5635" max="5635" width="12.28515625" style="68" customWidth="1"/>
    <col min="5636" max="5636" width="10.7109375" style="68" customWidth="1"/>
    <col min="5637" max="5637" width="9.140625" style="68"/>
    <col min="5638" max="5638" width="7.42578125" style="68" customWidth="1"/>
    <col min="5639" max="5639" width="9.140625" style="68"/>
    <col min="5640" max="5640" width="12.28515625" style="68" customWidth="1"/>
    <col min="5641" max="5641" width="13.7109375" style="68" customWidth="1"/>
    <col min="5642" max="5643" width="14.140625" style="68" customWidth="1"/>
    <col min="5644" max="5644" width="13.5703125" style="68" customWidth="1"/>
    <col min="5645" max="5887" width="9.140625" style="68"/>
    <col min="5888" max="5888" width="10.42578125" style="68" customWidth="1"/>
    <col min="5889" max="5889" width="12.140625" style="68" customWidth="1"/>
    <col min="5890" max="5890" width="11.85546875" style="68" customWidth="1"/>
    <col min="5891" max="5891" width="12.28515625" style="68" customWidth="1"/>
    <col min="5892" max="5892" width="10.7109375" style="68" customWidth="1"/>
    <col min="5893" max="5893" width="9.140625" style="68"/>
    <col min="5894" max="5894" width="7.42578125" style="68" customWidth="1"/>
    <col min="5895" max="5895" width="9.140625" style="68"/>
    <col min="5896" max="5896" width="12.28515625" style="68" customWidth="1"/>
    <col min="5897" max="5897" width="13.7109375" style="68" customWidth="1"/>
    <col min="5898" max="5899" width="14.140625" style="68" customWidth="1"/>
    <col min="5900" max="5900" width="13.5703125" style="68" customWidth="1"/>
    <col min="5901" max="6143" width="9.140625" style="68"/>
    <col min="6144" max="6144" width="10.42578125" style="68" customWidth="1"/>
    <col min="6145" max="6145" width="12.140625" style="68" customWidth="1"/>
    <col min="6146" max="6146" width="11.85546875" style="68" customWidth="1"/>
    <col min="6147" max="6147" width="12.28515625" style="68" customWidth="1"/>
    <col min="6148" max="6148" width="10.7109375" style="68" customWidth="1"/>
    <col min="6149" max="6149" width="9.140625" style="68"/>
    <col min="6150" max="6150" width="7.42578125" style="68" customWidth="1"/>
    <col min="6151" max="6151" width="9.140625" style="68"/>
    <col min="6152" max="6152" width="12.28515625" style="68" customWidth="1"/>
    <col min="6153" max="6153" width="13.7109375" style="68" customWidth="1"/>
    <col min="6154" max="6155" width="14.140625" style="68" customWidth="1"/>
    <col min="6156" max="6156" width="13.5703125" style="68" customWidth="1"/>
    <col min="6157" max="6399" width="9.140625" style="68"/>
    <col min="6400" max="6400" width="10.42578125" style="68" customWidth="1"/>
    <col min="6401" max="6401" width="12.140625" style="68" customWidth="1"/>
    <col min="6402" max="6402" width="11.85546875" style="68" customWidth="1"/>
    <col min="6403" max="6403" width="12.28515625" style="68" customWidth="1"/>
    <col min="6404" max="6404" width="10.7109375" style="68" customWidth="1"/>
    <col min="6405" max="6405" width="9.140625" style="68"/>
    <col min="6406" max="6406" width="7.42578125" style="68" customWidth="1"/>
    <col min="6407" max="6407" width="9.140625" style="68"/>
    <col min="6408" max="6408" width="12.28515625" style="68" customWidth="1"/>
    <col min="6409" max="6409" width="13.7109375" style="68" customWidth="1"/>
    <col min="6410" max="6411" width="14.140625" style="68" customWidth="1"/>
    <col min="6412" max="6412" width="13.5703125" style="68" customWidth="1"/>
    <col min="6413" max="6655" width="9.140625" style="68"/>
    <col min="6656" max="6656" width="10.42578125" style="68" customWidth="1"/>
    <col min="6657" max="6657" width="12.140625" style="68" customWidth="1"/>
    <col min="6658" max="6658" width="11.85546875" style="68" customWidth="1"/>
    <col min="6659" max="6659" width="12.28515625" style="68" customWidth="1"/>
    <col min="6660" max="6660" width="10.7109375" style="68" customWidth="1"/>
    <col min="6661" max="6661" width="9.140625" style="68"/>
    <col min="6662" max="6662" width="7.42578125" style="68" customWidth="1"/>
    <col min="6663" max="6663" width="9.140625" style="68"/>
    <col min="6664" max="6664" width="12.28515625" style="68" customWidth="1"/>
    <col min="6665" max="6665" width="13.7109375" style="68" customWidth="1"/>
    <col min="6666" max="6667" width="14.140625" style="68" customWidth="1"/>
    <col min="6668" max="6668" width="13.5703125" style="68" customWidth="1"/>
    <col min="6669" max="6911" width="9.140625" style="68"/>
    <col min="6912" max="6912" width="10.42578125" style="68" customWidth="1"/>
    <col min="6913" max="6913" width="12.140625" style="68" customWidth="1"/>
    <col min="6914" max="6914" width="11.85546875" style="68" customWidth="1"/>
    <col min="6915" max="6915" width="12.28515625" style="68" customWidth="1"/>
    <col min="6916" max="6916" width="10.7109375" style="68" customWidth="1"/>
    <col min="6917" max="6917" width="9.140625" style="68"/>
    <col min="6918" max="6918" width="7.42578125" style="68" customWidth="1"/>
    <col min="6919" max="6919" width="9.140625" style="68"/>
    <col min="6920" max="6920" width="12.28515625" style="68" customWidth="1"/>
    <col min="6921" max="6921" width="13.7109375" style="68" customWidth="1"/>
    <col min="6922" max="6923" width="14.140625" style="68" customWidth="1"/>
    <col min="6924" max="6924" width="13.5703125" style="68" customWidth="1"/>
    <col min="6925" max="7167" width="9.140625" style="68"/>
    <col min="7168" max="7168" width="10.42578125" style="68" customWidth="1"/>
    <col min="7169" max="7169" width="12.140625" style="68" customWidth="1"/>
    <col min="7170" max="7170" width="11.85546875" style="68" customWidth="1"/>
    <col min="7171" max="7171" width="12.28515625" style="68" customWidth="1"/>
    <col min="7172" max="7172" width="10.7109375" style="68" customWidth="1"/>
    <col min="7173" max="7173" width="9.140625" style="68"/>
    <col min="7174" max="7174" width="7.42578125" style="68" customWidth="1"/>
    <col min="7175" max="7175" width="9.140625" style="68"/>
    <col min="7176" max="7176" width="12.28515625" style="68" customWidth="1"/>
    <col min="7177" max="7177" width="13.7109375" style="68" customWidth="1"/>
    <col min="7178" max="7179" width="14.140625" style="68" customWidth="1"/>
    <col min="7180" max="7180" width="13.5703125" style="68" customWidth="1"/>
    <col min="7181" max="7423" width="9.140625" style="68"/>
    <col min="7424" max="7424" width="10.42578125" style="68" customWidth="1"/>
    <col min="7425" max="7425" width="12.140625" style="68" customWidth="1"/>
    <col min="7426" max="7426" width="11.85546875" style="68" customWidth="1"/>
    <col min="7427" max="7427" width="12.28515625" style="68" customWidth="1"/>
    <col min="7428" max="7428" width="10.7109375" style="68" customWidth="1"/>
    <col min="7429" max="7429" width="9.140625" style="68"/>
    <col min="7430" max="7430" width="7.42578125" style="68" customWidth="1"/>
    <col min="7431" max="7431" width="9.140625" style="68"/>
    <col min="7432" max="7432" width="12.28515625" style="68" customWidth="1"/>
    <col min="7433" max="7433" width="13.7109375" style="68" customWidth="1"/>
    <col min="7434" max="7435" width="14.140625" style="68" customWidth="1"/>
    <col min="7436" max="7436" width="13.5703125" style="68" customWidth="1"/>
    <col min="7437" max="7679" width="9.140625" style="68"/>
    <col min="7680" max="7680" width="10.42578125" style="68" customWidth="1"/>
    <col min="7681" max="7681" width="12.140625" style="68" customWidth="1"/>
    <col min="7682" max="7682" width="11.85546875" style="68" customWidth="1"/>
    <col min="7683" max="7683" width="12.28515625" style="68" customWidth="1"/>
    <col min="7684" max="7684" width="10.7109375" style="68" customWidth="1"/>
    <col min="7685" max="7685" width="9.140625" style="68"/>
    <col min="7686" max="7686" width="7.42578125" style="68" customWidth="1"/>
    <col min="7687" max="7687" width="9.140625" style="68"/>
    <col min="7688" max="7688" width="12.28515625" style="68" customWidth="1"/>
    <col min="7689" max="7689" width="13.7109375" style="68" customWidth="1"/>
    <col min="7690" max="7691" width="14.140625" style="68" customWidth="1"/>
    <col min="7692" max="7692" width="13.5703125" style="68" customWidth="1"/>
    <col min="7693" max="7935" width="9.140625" style="68"/>
    <col min="7936" max="7936" width="10.42578125" style="68" customWidth="1"/>
    <col min="7937" max="7937" width="12.140625" style="68" customWidth="1"/>
    <col min="7938" max="7938" width="11.85546875" style="68" customWidth="1"/>
    <col min="7939" max="7939" width="12.28515625" style="68" customWidth="1"/>
    <col min="7940" max="7940" width="10.7109375" style="68" customWidth="1"/>
    <col min="7941" max="7941" width="9.140625" style="68"/>
    <col min="7942" max="7942" width="7.42578125" style="68" customWidth="1"/>
    <col min="7943" max="7943" width="9.140625" style="68"/>
    <col min="7944" max="7944" width="12.28515625" style="68" customWidth="1"/>
    <col min="7945" max="7945" width="13.7109375" style="68" customWidth="1"/>
    <col min="7946" max="7947" width="14.140625" style="68" customWidth="1"/>
    <col min="7948" max="7948" width="13.5703125" style="68" customWidth="1"/>
    <col min="7949" max="8191" width="9.140625" style="68"/>
    <col min="8192" max="8192" width="10.42578125" style="68" customWidth="1"/>
    <col min="8193" max="8193" width="12.140625" style="68" customWidth="1"/>
    <col min="8194" max="8194" width="11.85546875" style="68" customWidth="1"/>
    <col min="8195" max="8195" width="12.28515625" style="68" customWidth="1"/>
    <col min="8196" max="8196" width="10.7109375" style="68" customWidth="1"/>
    <col min="8197" max="8197" width="9.140625" style="68"/>
    <col min="8198" max="8198" width="7.42578125" style="68" customWidth="1"/>
    <col min="8199" max="8199" width="9.140625" style="68"/>
    <col min="8200" max="8200" width="12.28515625" style="68" customWidth="1"/>
    <col min="8201" max="8201" width="13.7109375" style="68" customWidth="1"/>
    <col min="8202" max="8203" width="14.140625" style="68" customWidth="1"/>
    <col min="8204" max="8204" width="13.5703125" style="68" customWidth="1"/>
    <col min="8205" max="8447" width="9.140625" style="68"/>
    <col min="8448" max="8448" width="10.42578125" style="68" customWidth="1"/>
    <col min="8449" max="8449" width="12.140625" style="68" customWidth="1"/>
    <col min="8450" max="8450" width="11.85546875" style="68" customWidth="1"/>
    <col min="8451" max="8451" width="12.28515625" style="68" customWidth="1"/>
    <col min="8452" max="8452" width="10.7109375" style="68" customWidth="1"/>
    <col min="8453" max="8453" width="9.140625" style="68"/>
    <col min="8454" max="8454" width="7.42578125" style="68" customWidth="1"/>
    <col min="8455" max="8455" width="9.140625" style="68"/>
    <col min="8456" max="8456" width="12.28515625" style="68" customWidth="1"/>
    <col min="8457" max="8457" width="13.7109375" style="68" customWidth="1"/>
    <col min="8458" max="8459" width="14.140625" style="68" customWidth="1"/>
    <col min="8460" max="8460" width="13.5703125" style="68" customWidth="1"/>
    <col min="8461" max="8703" width="9.140625" style="68"/>
    <col min="8704" max="8704" width="10.42578125" style="68" customWidth="1"/>
    <col min="8705" max="8705" width="12.140625" style="68" customWidth="1"/>
    <col min="8706" max="8706" width="11.85546875" style="68" customWidth="1"/>
    <col min="8707" max="8707" width="12.28515625" style="68" customWidth="1"/>
    <col min="8708" max="8708" width="10.7109375" style="68" customWidth="1"/>
    <col min="8709" max="8709" width="9.140625" style="68"/>
    <col min="8710" max="8710" width="7.42578125" style="68" customWidth="1"/>
    <col min="8711" max="8711" width="9.140625" style="68"/>
    <col min="8712" max="8712" width="12.28515625" style="68" customWidth="1"/>
    <col min="8713" max="8713" width="13.7109375" style="68" customWidth="1"/>
    <col min="8714" max="8715" width="14.140625" style="68" customWidth="1"/>
    <col min="8716" max="8716" width="13.5703125" style="68" customWidth="1"/>
    <col min="8717" max="8959" width="9.140625" style="68"/>
    <col min="8960" max="8960" width="10.42578125" style="68" customWidth="1"/>
    <col min="8961" max="8961" width="12.140625" style="68" customWidth="1"/>
    <col min="8962" max="8962" width="11.85546875" style="68" customWidth="1"/>
    <col min="8963" max="8963" width="12.28515625" style="68" customWidth="1"/>
    <col min="8964" max="8964" width="10.7109375" style="68" customWidth="1"/>
    <col min="8965" max="8965" width="9.140625" style="68"/>
    <col min="8966" max="8966" width="7.42578125" style="68" customWidth="1"/>
    <col min="8967" max="8967" width="9.140625" style="68"/>
    <col min="8968" max="8968" width="12.28515625" style="68" customWidth="1"/>
    <col min="8969" max="8969" width="13.7109375" style="68" customWidth="1"/>
    <col min="8970" max="8971" width="14.140625" style="68" customWidth="1"/>
    <col min="8972" max="8972" width="13.5703125" style="68" customWidth="1"/>
    <col min="8973" max="9215" width="9.140625" style="68"/>
    <col min="9216" max="9216" width="10.42578125" style="68" customWidth="1"/>
    <col min="9217" max="9217" width="12.140625" style="68" customWidth="1"/>
    <col min="9218" max="9218" width="11.85546875" style="68" customWidth="1"/>
    <col min="9219" max="9219" width="12.28515625" style="68" customWidth="1"/>
    <col min="9220" max="9220" width="10.7109375" style="68" customWidth="1"/>
    <col min="9221" max="9221" width="9.140625" style="68"/>
    <col min="9222" max="9222" width="7.42578125" style="68" customWidth="1"/>
    <col min="9223" max="9223" width="9.140625" style="68"/>
    <col min="9224" max="9224" width="12.28515625" style="68" customWidth="1"/>
    <col min="9225" max="9225" width="13.7109375" style="68" customWidth="1"/>
    <col min="9226" max="9227" width="14.140625" style="68" customWidth="1"/>
    <col min="9228" max="9228" width="13.5703125" style="68" customWidth="1"/>
    <col min="9229" max="9471" width="9.140625" style="68"/>
    <col min="9472" max="9472" width="10.42578125" style="68" customWidth="1"/>
    <col min="9473" max="9473" width="12.140625" style="68" customWidth="1"/>
    <col min="9474" max="9474" width="11.85546875" style="68" customWidth="1"/>
    <col min="9475" max="9475" width="12.28515625" style="68" customWidth="1"/>
    <col min="9476" max="9476" width="10.7109375" style="68" customWidth="1"/>
    <col min="9477" max="9477" width="9.140625" style="68"/>
    <col min="9478" max="9478" width="7.42578125" style="68" customWidth="1"/>
    <col min="9479" max="9479" width="9.140625" style="68"/>
    <col min="9480" max="9480" width="12.28515625" style="68" customWidth="1"/>
    <col min="9481" max="9481" width="13.7109375" style="68" customWidth="1"/>
    <col min="9482" max="9483" width="14.140625" style="68" customWidth="1"/>
    <col min="9484" max="9484" width="13.5703125" style="68" customWidth="1"/>
    <col min="9485" max="9727" width="9.140625" style="68"/>
    <col min="9728" max="9728" width="10.42578125" style="68" customWidth="1"/>
    <col min="9729" max="9729" width="12.140625" style="68" customWidth="1"/>
    <col min="9730" max="9730" width="11.85546875" style="68" customWidth="1"/>
    <col min="9731" max="9731" width="12.28515625" style="68" customWidth="1"/>
    <col min="9732" max="9732" width="10.7109375" style="68" customWidth="1"/>
    <col min="9733" max="9733" width="9.140625" style="68"/>
    <col min="9734" max="9734" width="7.42578125" style="68" customWidth="1"/>
    <col min="9735" max="9735" width="9.140625" style="68"/>
    <col min="9736" max="9736" width="12.28515625" style="68" customWidth="1"/>
    <col min="9737" max="9737" width="13.7109375" style="68" customWidth="1"/>
    <col min="9738" max="9739" width="14.140625" style="68" customWidth="1"/>
    <col min="9740" max="9740" width="13.5703125" style="68" customWidth="1"/>
    <col min="9741" max="9983" width="9.140625" style="68"/>
    <col min="9984" max="9984" width="10.42578125" style="68" customWidth="1"/>
    <col min="9985" max="9985" width="12.140625" style="68" customWidth="1"/>
    <col min="9986" max="9986" width="11.85546875" style="68" customWidth="1"/>
    <col min="9987" max="9987" width="12.28515625" style="68" customWidth="1"/>
    <col min="9988" max="9988" width="10.7109375" style="68" customWidth="1"/>
    <col min="9989" max="9989" width="9.140625" style="68"/>
    <col min="9990" max="9990" width="7.42578125" style="68" customWidth="1"/>
    <col min="9991" max="9991" width="9.140625" style="68"/>
    <col min="9992" max="9992" width="12.28515625" style="68" customWidth="1"/>
    <col min="9993" max="9993" width="13.7109375" style="68" customWidth="1"/>
    <col min="9994" max="9995" width="14.140625" style="68" customWidth="1"/>
    <col min="9996" max="9996" width="13.5703125" style="68" customWidth="1"/>
    <col min="9997" max="10239" width="9.140625" style="68"/>
    <col min="10240" max="10240" width="10.42578125" style="68" customWidth="1"/>
    <col min="10241" max="10241" width="12.140625" style="68" customWidth="1"/>
    <col min="10242" max="10242" width="11.85546875" style="68" customWidth="1"/>
    <col min="10243" max="10243" width="12.28515625" style="68" customWidth="1"/>
    <col min="10244" max="10244" width="10.7109375" style="68" customWidth="1"/>
    <col min="10245" max="10245" width="9.140625" style="68"/>
    <col min="10246" max="10246" width="7.42578125" style="68" customWidth="1"/>
    <col min="10247" max="10247" width="9.140625" style="68"/>
    <col min="10248" max="10248" width="12.28515625" style="68" customWidth="1"/>
    <col min="10249" max="10249" width="13.7109375" style="68" customWidth="1"/>
    <col min="10250" max="10251" width="14.140625" style="68" customWidth="1"/>
    <col min="10252" max="10252" width="13.5703125" style="68" customWidth="1"/>
    <col min="10253" max="10495" width="9.140625" style="68"/>
    <col min="10496" max="10496" width="10.42578125" style="68" customWidth="1"/>
    <col min="10497" max="10497" width="12.140625" style="68" customWidth="1"/>
    <col min="10498" max="10498" width="11.85546875" style="68" customWidth="1"/>
    <col min="10499" max="10499" width="12.28515625" style="68" customWidth="1"/>
    <col min="10500" max="10500" width="10.7109375" style="68" customWidth="1"/>
    <col min="10501" max="10501" width="9.140625" style="68"/>
    <col min="10502" max="10502" width="7.42578125" style="68" customWidth="1"/>
    <col min="10503" max="10503" width="9.140625" style="68"/>
    <col min="10504" max="10504" width="12.28515625" style="68" customWidth="1"/>
    <col min="10505" max="10505" width="13.7109375" style="68" customWidth="1"/>
    <col min="10506" max="10507" width="14.140625" style="68" customWidth="1"/>
    <col min="10508" max="10508" width="13.5703125" style="68" customWidth="1"/>
    <col min="10509" max="10751" width="9.140625" style="68"/>
    <col min="10752" max="10752" width="10.42578125" style="68" customWidth="1"/>
    <col min="10753" max="10753" width="12.140625" style="68" customWidth="1"/>
    <col min="10754" max="10754" width="11.85546875" style="68" customWidth="1"/>
    <col min="10755" max="10755" width="12.28515625" style="68" customWidth="1"/>
    <col min="10756" max="10756" width="10.7109375" style="68" customWidth="1"/>
    <col min="10757" max="10757" width="9.140625" style="68"/>
    <col min="10758" max="10758" width="7.42578125" style="68" customWidth="1"/>
    <col min="10759" max="10759" width="9.140625" style="68"/>
    <col min="10760" max="10760" width="12.28515625" style="68" customWidth="1"/>
    <col min="10761" max="10761" width="13.7109375" style="68" customWidth="1"/>
    <col min="10762" max="10763" width="14.140625" style="68" customWidth="1"/>
    <col min="10764" max="10764" width="13.5703125" style="68" customWidth="1"/>
    <col min="10765" max="11007" width="9.140625" style="68"/>
    <col min="11008" max="11008" width="10.42578125" style="68" customWidth="1"/>
    <col min="11009" max="11009" width="12.140625" style="68" customWidth="1"/>
    <col min="11010" max="11010" width="11.85546875" style="68" customWidth="1"/>
    <col min="11011" max="11011" width="12.28515625" style="68" customWidth="1"/>
    <col min="11012" max="11012" width="10.7109375" style="68" customWidth="1"/>
    <col min="11013" max="11013" width="9.140625" style="68"/>
    <col min="11014" max="11014" width="7.42578125" style="68" customWidth="1"/>
    <col min="11015" max="11015" width="9.140625" style="68"/>
    <col min="11016" max="11016" width="12.28515625" style="68" customWidth="1"/>
    <col min="11017" max="11017" width="13.7109375" style="68" customWidth="1"/>
    <col min="11018" max="11019" width="14.140625" style="68" customWidth="1"/>
    <col min="11020" max="11020" width="13.5703125" style="68" customWidth="1"/>
    <col min="11021" max="11263" width="9.140625" style="68"/>
    <col min="11264" max="11264" width="10.42578125" style="68" customWidth="1"/>
    <col min="11265" max="11265" width="12.140625" style="68" customWidth="1"/>
    <col min="11266" max="11266" width="11.85546875" style="68" customWidth="1"/>
    <col min="11267" max="11267" width="12.28515625" style="68" customWidth="1"/>
    <col min="11268" max="11268" width="10.7109375" style="68" customWidth="1"/>
    <col min="11269" max="11269" width="9.140625" style="68"/>
    <col min="11270" max="11270" width="7.42578125" style="68" customWidth="1"/>
    <col min="11271" max="11271" width="9.140625" style="68"/>
    <col min="11272" max="11272" width="12.28515625" style="68" customWidth="1"/>
    <col min="11273" max="11273" width="13.7109375" style="68" customWidth="1"/>
    <col min="11274" max="11275" width="14.140625" style="68" customWidth="1"/>
    <col min="11276" max="11276" width="13.5703125" style="68" customWidth="1"/>
    <col min="11277" max="11519" width="9.140625" style="68"/>
    <col min="11520" max="11520" width="10.42578125" style="68" customWidth="1"/>
    <col min="11521" max="11521" width="12.140625" style="68" customWidth="1"/>
    <col min="11522" max="11522" width="11.85546875" style="68" customWidth="1"/>
    <col min="11523" max="11523" width="12.28515625" style="68" customWidth="1"/>
    <col min="11524" max="11524" width="10.7109375" style="68" customWidth="1"/>
    <col min="11525" max="11525" width="9.140625" style="68"/>
    <col min="11526" max="11526" width="7.42578125" style="68" customWidth="1"/>
    <col min="11527" max="11527" width="9.140625" style="68"/>
    <col min="11528" max="11528" width="12.28515625" style="68" customWidth="1"/>
    <col min="11529" max="11529" width="13.7109375" style="68" customWidth="1"/>
    <col min="11530" max="11531" width="14.140625" style="68" customWidth="1"/>
    <col min="11532" max="11532" width="13.5703125" style="68" customWidth="1"/>
    <col min="11533" max="11775" width="9.140625" style="68"/>
    <col min="11776" max="11776" width="10.42578125" style="68" customWidth="1"/>
    <col min="11777" max="11777" width="12.140625" style="68" customWidth="1"/>
    <col min="11778" max="11778" width="11.85546875" style="68" customWidth="1"/>
    <col min="11779" max="11779" width="12.28515625" style="68" customWidth="1"/>
    <col min="11780" max="11780" width="10.7109375" style="68" customWidth="1"/>
    <col min="11781" max="11781" width="9.140625" style="68"/>
    <col min="11782" max="11782" width="7.42578125" style="68" customWidth="1"/>
    <col min="11783" max="11783" width="9.140625" style="68"/>
    <col min="11784" max="11784" width="12.28515625" style="68" customWidth="1"/>
    <col min="11785" max="11785" width="13.7109375" style="68" customWidth="1"/>
    <col min="11786" max="11787" width="14.140625" style="68" customWidth="1"/>
    <col min="11788" max="11788" width="13.5703125" style="68" customWidth="1"/>
    <col min="11789" max="12031" width="9.140625" style="68"/>
    <col min="12032" max="12032" width="10.42578125" style="68" customWidth="1"/>
    <col min="12033" max="12033" width="12.140625" style="68" customWidth="1"/>
    <col min="12034" max="12034" width="11.85546875" style="68" customWidth="1"/>
    <col min="12035" max="12035" width="12.28515625" style="68" customWidth="1"/>
    <col min="12036" max="12036" width="10.7109375" style="68" customWidth="1"/>
    <col min="12037" max="12037" width="9.140625" style="68"/>
    <col min="12038" max="12038" width="7.42578125" style="68" customWidth="1"/>
    <col min="12039" max="12039" width="9.140625" style="68"/>
    <col min="12040" max="12040" width="12.28515625" style="68" customWidth="1"/>
    <col min="12041" max="12041" width="13.7109375" style="68" customWidth="1"/>
    <col min="12042" max="12043" width="14.140625" style="68" customWidth="1"/>
    <col min="12044" max="12044" width="13.5703125" style="68" customWidth="1"/>
    <col min="12045" max="12287" width="9.140625" style="68"/>
    <col min="12288" max="12288" width="10.42578125" style="68" customWidth="1"/>
    <col min="12289" max="12289" width="12.140625" style="68" customWidth="1"/>
    <col min="12290" max="12290" width="11.85546875" style="68" customWidth="1"/>
    <col min="12291" max="12291" width="12.28515625" style="68" customWidth="1"/>
    <col min="12292" max="12292" width="10.7109375" style="68" customWidth="1"/>
    <col min="12293" max="12293" width="9.140625" style="68"/>
    <col min="12294" max="12294" width="7.42578125" style="68" customWidth="1"/>
    <col min="12295" max="12295" width="9.140625" style="68"/>
    <col min="12296" max="12296" width="12.28515625" style="68" customWidth="1"/>
    <col min="12297" max="12297" width="13.7109375" style="68" customWidth="1"/>
    <col min="12298" max="12299" width="14.140625" style="68" customWidth="1"/>
    <col min="12300" max="12300" width="13.5703125" style="68" customWidth="1"/>
    <col min="12301" max="12543" width="9.140625" style="68"/>
    <col min="12544" max="12544" width="10.42578125" style="68" customWidth="1"/>
    <col min="12545" max="12545" width="12.140625" style="68" customWidth="1"/>
    <col min="12546" max="12546" width="11.85546875" style="68" customWidth="1"/>
    <col min="12547" max="12547" width="12.28515625" style="68" customWidth="1"/>
    <col min="12548" max="12548" width="10.7109375" style="68" customWidth="1"/>
    <col min="12549" max="12549" width="9.140625" style="68"/>
    <col min="12550" max="12550" width="7.42578125" style="68" customWidth="1"/>
    <col min="12551" max="12551" width="9.140625" style="68"/>
    <col min="12552" max="12552" width="12.28515625" style="68" customWidth="1"/>
    <col min="12553" max="12553" width="13.7109375" style="68" customWidth="1"/>
    <col min="12554" max="12555" width="14.140625" style="68" customWidth="1"/>
    <col min="12556" max="12556" width="13.5703125" style="68" customWidth="1"/>
    <col min="12557" max="12799" width="9.140625" style="68"/>
    <col min="12800" max="12800" width="10.42578125" style="68" customWidth="1"/>
    <col min="12801" max="12801" width="12.140625" style="68" customWidth="1"/>
    <col min="12802" max="12802" width="11.85546875" style="68" customWidth="1"/>
    <col min="12803" max="12803" width="12.28515625" style="68" customWidth="1"/>
    <col min="12804" max="12804" width="10.7109375" style="68" customWidth="1"/>
    <col min="12805" max="12805" width="9.140625" style="68"/>
    <col min="12806" max="12806" width="7.42578125" style="68" customWidth="1"/>
    <col min="12807" max="12807" width="9.140625" style="68"/>
    <col min="12808" max="12808" width="12.28515625" style="68" customWidth="1"/>
    <col min="12809" max="12809" width="13.7109375" style="68" customWidth="1"/>
    <col min="12810" max="12811" width="14.140625" style="68" customWidth="1"/>
    <col min="12812" max="12812" width="13.5703125" style="68" customWidth="1"/>
    <col min="12813" max="13055" width="9.140625" style="68"/>
    <col min="13056" max="13056" width="10.42578125" style="68" customWidth="1"/>
    <col min="13057" max="13057" width="12.140625" style="68" customWidth="1"/>
    <col min="13058" max="13058" width="11.85546875" style="68" customWidth="1"/>
    <col min="13059" max="13059" width="12.28515625" style="68" customWidth="1"/>
    <col min="13060" max="13060" width="10.7109375" style="68" customWidth="1"/>
    <col min="13061" max="13061" width="9.140625" style="68"/>
    <col min="13062" max="13062" width="7.42578125" style="68" customWidth="1"/>
    <col min="13063" max="13063" width="9.140625" style="68"/>
    <col min="13064" max="13064" width="12.28515625" style="68" customWidth="1"/>
    <col min="13065" max="13065" width="13.7109375" style="68" customWidth="1"/>
    <col min="13066" max="13067" width="14.140625" style="68" customWidth="1"/>
    <col min="13068" max="13068" width="13.5703125" style="68" customWidth="1"/>
    <col min="13069" max="13311" width="9.140625" style="68"/>
    <col min="13312" max="13312" width="10.42578125" style="68" customWidth="1"/>
    <col min="13313" max="13313" width="12.140625" style="68" customWidth="1"/>
    <col min="13314" max="13314" width="11.85546875" style="68" customWidth="1"/>
    <col min="13315" max="13315" width="12.28515625" style="68" customWidth="1"/>
    <col min="13316" max="13316" width="10.7109375" style="68" customWidth="1"/>
    <col min="13317" max="13317" width="9.140625" style="68"/>
    <col min="13318" max="13318" width="7.42578125" style="68" customWidth="1"/>
    <col min="13319" max="13319" width="9.140625" style="68"/>
    <col min="13320" max="13320" width="12.28515625" style="68" customWidth="1"/>
    <col min="13321" max="13321" width="13.7109375" style="68" customWidth="1"/>
    <col min="13322" max="13323" width="14.140625" style="68" customWidth="1"/>
    <col min="13324" max="13324" width="13.5703125" style="68" customWidth="1"/>
    <col min="13325" max="13567" width="9.140625" style="68"/>
    <col min="13568" max="13568" width="10.42578125" style="68" customWidth="1"/>
    <col min="13569" max="13569" width="12.140625" style="68" customWidth="1"/>
    <col min="13570" max="13570" width="11.85546875" style="68" customWidth="1"/>
    <col min="13571" max="13571" width="12.28515625" style="68" customWidth="1"/>
    <col min="13572" max="13572" width="10.7109375" style="68" customWidth="1"/>
    <col min="13573" max="13573" width="9.140625" style="68"/>
    <col min="13574" max="13574" width="7.42578125" style="68" customWidth="1"/>
    <col min="13575" max="13575" width="9.140625" style="68"/>
    <col min="13576" max="13576" width="12.28515625" style="68" customWidth="1"/>
    <col min="13577" max="13577" width="13.7109375" style="68" customWidth="1"/>
    <col min="13578" max="13579" width="14.140625" style="68" customWidth="1"/>
    <col min="13580" max="13580" width="13.5703125" style="68" customWidth="1"/>
    <col min="13581" max="13823" width="9.140625" style="68"/>
    <col min="13824" max="13824" width="10.42578125" style="68" customWidth="1"/>
    <col min="13825" max="13825" width="12.140625" style="68" customWidth="1"/>
    <col min="13826" max="13826" width="11.85546875" style="68" customWidth="1"/>
    <col min="13827" max="13827" width="12.28515625" style="68" customWidth="1"/>
    <col min="13828" max="13828" width="10.7109375" style="68" customWidth="1"/>
    <col min="13829" max="13829" width="9.140625" style="68"/>
    <col min="13830" max="13830" width="7.42578125" style="68" customWidth="1"/>
    <col min="13831" max="13831" width="9.140625" style="68"/>
    <col min="13832" max="13832" width="12.28515625" style="68" customWidth="1"/>
    <col min="13833" max="13833" width="13.7109375" style="68" customWidth="1"/>
    <col min="13834" max="13835" width="14.140625" style="68" customWidth="1"/>
    <col min="13836" max="13836" width="13.5703125" style="68" customWidth="1"/>
    <col min="13837" max="14079" width="9.140625" style="68"/>
    <col min="14080" max="14080" width="10.42578125" style="68" customWidth="1"/>
    <col min="14081" max="14081" width="12.140625" style="68" customWidth="1"/>
    <col min="14082" max="14082" width="11.85546875" style="68" customWidth="1"/>
    <col min="14083" max="14083" width="12.28515625" style="68" customWidth="1"/>
    <col min="14084" max="14084" width="10.7109375" style="68" customWidth="1"/>
    <col min="14085" max="14085" width="9.140625" style="68"/>
    <col min="14086" max="14086" width="7.42578125" style="68" customWidth="1"/>
    <col min="14087" max="14087" width="9.140625" style="68"/>
    <col min="14088" max="14088" width="12.28515625" style="68" customWidth="1"/>
    <col min="14089" max="14089" width="13.7109375" style="68" customWidth="1"/>
    <col min="14090" max="14091" width="14.140625" style="68" customWidth="1"/>
    <col min="14092" max="14092" width="13.5703125" style="68" customWidth="1"/>
    <col min="14093" max="14335" width="9.140625" style="68"/>
    <col min="14336" max="14336" width="10.42578125" style="68" customWidth="1"/>
    <col min="14337" max="14337" width="12.140625" style="68" customWidth="1"/>
    <col min="14338" max="14338" width="11.85546875" style="68" customWidth="1"/>
    <col min="14339" max="14339" width="12.28515625" style="68" customWidth="1"/>
    <col min="14340" max="14340" width="10.7109375" style="68" customWidth="1"/>
    <col min="14341" max="14341" width="9.140625" style="68"/>
    <col min="14342" max="14342" width="7.42578125" style="68" customWidth="1"/>
    <col min="14343" max="14343" width="9.140625" style="68"/>
    <col min="14344" max="14344" width="12.28515625" style="68" customWidth="1"/>
    <col min="14345" max="14345" width="13.7109375" style="68" customWidth="1"/>
    <col min="14346" max="14347" width="14.140625" style="68" customWidth="1"/>
    <col min="14348" max="14348" width="13.5703125" style="68" customWidth="1"/>
    <col min="14349" max="14591" width="9.140625" style="68"/>
    <col min="14592" max="14592" width="10.42578125" style="68" customWidth="1"/>
    <col min="14593" max="14593" width="12.140625" style="68" customWidth="1"/>
    <col min="14594" max="14594" width="11.85546875" style="68" customWidth="1"/>
    <col min="14595" max="14595" width="12.28515625" style="68" customWidth="1"/>
    <col min="14596" max="14596" width="10.7109375" style="68" customWidth="1"/>
    <col min="14597" max="14597" width="9.140625" style="68"/>
    <col min="14598" max="14598" width="7.42578125" style="68" customWidth="1"/>
    <col min="14599" max="14599" width="9.140625" style="68"/>
    <col min="14600" max="14600" width="12.28515625" style="68" customWidth="1"/>
    <col min="14601" max="14601" width="13.7109375" style="68" customWidth="1"/>
    <col min="14602" max="14603" width="14.140625" style="68" customWidth="1"/>
    <col min="14604" max="14604" width="13.5703125" style="68" customWidth="1"/>
    <col min="14605" max="14847" width="9.140625" style="68"/>
    <col min="14848" max="14848" width="10.42578125" style="68" customWidth="1"/>
    <col min="14849" max="14849" width="12.140625" style="68" customWidth="1"/>
    <col min="14850" max="14850" width="11.85546875" style="68" customWidth="1"/>
    <col min="14851" max="14851" width="12.28515625" style="68" customWidth="1"/>
    <col min="14852" max="14852" width="10.7109375" style="68" customWidth="1"/>
    <col min="14853" max="14853" width="9.140625" style="68"/>
    <col min="14854" max="14854" width="7.42578125" style="68" customWidth="1"/>
    <col min="14855" max="14855" width="9.140625" style="68"/>
    <col min="14856" max="14856" width="12.28515625" style="68" customWidth="1"/>
    <col min="14857" max="14857" width="13.7109375" style="68" customWidth="1"/>
    <col min="14858" max="14859" width="14.140625" style="68" customWidth="1"/>
    <col min="14860" max="14860" width="13.5703125" style="68" customWidth="1"/>
    <col min="14861" max="15103" width="9.140625" style="68"/>
    <col min="15104" max="15104" width="10.42578125" style="68" customWidth="1"/>
    <col min="15105" max="15105" width="12.140625" style="68" customWidth="1"/>
    <col min="15106" max="15106" width="11.85546875" style="68" customWidth="1"/>
    <col min="15107" max="15107" width="12.28515625" style="68" customWidth="1"/>
    <col min="15108" max="15108" width="10.7109375" style="68" customWidth="1"/>
    <col min="15109" max="15109" width="9.140625" style="68"/>
    <col min="15110" max="15110" width="7.42578125" style="68" customWidth="1"/>
    <col min="15111" max="15111" width="9.140625" style="68"/>
    <col min="15112" max="15112" width="12.28515625" style="68" customWidth="1"/>
    <col min="15113" max="15113" width="13.7109375" style="68" customWidth="1"/>
    <col min="15114" max="15115" width="14.140625" style="68" customWidth="1"/>
    <col min="15116" max="15116" width="13.5703125" style="68" customWidth="1"/>
    <col min="15117" max="15359" width="9.140625" style="68"/>
    <col min="15360" max="15360" width="10.42578125" style="68" customWidth="1"/>
    <col min="15361" max="15361" width="12.140625" style="68" customWidth="1"/>
    <col min="15362" max="15362" width="11.85546875" style="68" customWidth="1"/>
    <col min="15363" max="15363" width="12.28515625" style="68" customWidth="1"/>
    <col min="15364" max="15364" width="10.7109375" style="68" customWidth="1"/>
    <col min="15365" max="15365" width="9.140625" style="68"/>
    <col min="15366" max="15366" width="7.42578125" style="68" customWidth="1"/>
    <col min="15367" max="15367" width="9.140625" style="68"/>
    <col min="15368" max="15368" width="12.28515625" style="68" customWidth="1"/>
    <col min="15369" max="15369" width="13.7109375" style="68" customWidth="1"/>
    <col min="15370" max="15371" width="14.140625" style="68" customWidth="1"/>
    <col min="15372" max="15372" width="13.5703125" style="68" customWidth="1"/>
    <col min="15373" max="15615" width="9.140625" style="68"/>
    <col min="15616" max="15616" width="10.42578125" style="68" customWidth="1"/>
    <col min="15617" max="15617" width="12.140625" style="68" customWidth="1"/>
    <col min="15618" max="15618" width="11.85546875" style="68" customWidth="1"/>
    <col min="15619" max="15619" width="12.28515625" style="68" customWidth="1"/>
    <col min="15620" max="15620" width="10.7109375" style="68" customWidth="1"/>
    <col min="15621" max="15621" width="9.140625" style="68"/>
    <col min="15622" max="15622" width="7.42578125" style="68" customWidth="1"/>
    <col min="15623" max="15623" width="9.140625" style="68"/>
    <col min="15624" max="15624" width="12.28515625" style="68" customWidth="1"/>
    <col min="15625" max="15625" width="13.7109375" style="68" customWidth="1"/>
    <col min="15626" max="15627" width="14.140625" style="68" customWidth="1"/>
    <col min="15628" max="15628" width="13.5703125" style="68" customWidth="1"/>
    <col min="15629" max="15871" width="9.140625" style="68"/>
    <col min="15872" max="15872" width="10.42578125" style="68" customWidth="1"/>
    <col min="15873" max="15873" width="12.140625" style="68" customWidth="1"/>
    <col min="15874" max="15874" width="11.85546875" style="68" customWidth="1"/>
    <col min="15875" max="15875" width="12.28515625" style="68" customWidth="1"/>
    <col min="15876" max="15876" width="10.7109375" style="68" customWidth="1"/>
    <col min="15877" max="15877" width="9.140625" style="68"/>
    <col min="15878" max="15878" width="7.42578125" style="68" customWidth="1"/>
    <col min="15879" max="15879" width="9.140625" style="68"/>
    <col min="15880" max="15880" width="12.28515625" style="68" customWidth="1"/>
    <col min="15881" max="15881" width="13.7109375" style="68" customWidth="1"/>
    <col min="15882" max="15883" width="14.140625" style="68" customWidth="1"/>
    <col min="15884" max="15884" width="13.5703125" style="68" customWidth="1"/>
    <col min="15885" max="16127" width="9.140625" style="68"/>
    <col min="16128" max="16128" width="10.42578125" style="68" customWidth="1"/>
    <col min="16129" max="16129" width="12.140625" style="68" customWidth="1"/>
    <col min="16130" max="16130" width="11.85546875" style="68" customWidth="1"/>
    <col min="16131" max="16131" width="12.28515625" style="68" customWidth="1"/>
    <col min="16132" max="16132" width="10.7109375" style="68" customWidth="1"/>
    <col min="16133" max="16133" width="9.140625" style="68"/>
    <col min="16134" max="16134" width="7.42578125" style="68" customWidth="1"/>
    <col min="16135" max="16135" width="9.140625" style="68"/>
    <col min="16136" max="16136" width="12.28515625" style="68" customWidth="1"/>
    <col min="16137" max="16137" width="13.7109375" style="68" customWidth="1"/>
    <col min="16138" max="16139" width="14.140625" style="68" customWidth="1"/>
    <col min="16140" max="16140" width="13.5703125" style="68" customWidth="1"/>
    <col min="16141" max="16384" width="9.140625" style="68"/>
  </cols>
  <sheetData>
    <row r="2" spans="2:15" ht="20.25">
      <c r="B2" s="146" t="s">
        <v>635</v>
      </c>
      <c r="G2" s="592" t="s">
        <v>298</v>
      </c>
    </row>
    <row r="4" spans="2:15">
      <c r="B4" s="481" t="s">
        <v>217</v>
      </c>
      <c r="C4" s="482"/>
      <c r="D4" s="482"/>
      <c r="E4" s="482"/>
      <c r="F4" s="483" t="s">
        <v>218</v>
      </c>
      <c r="G4" s="483"/>
      <c r="I4" s="481" t="s">
        <v>219</v>
      </c>
      <c r="J4" s="482"/>
      <c r="K4" s="482"/>
      <c r="L4" s="482"/>
      <c r="M4" s="482"/>
      <c r="N4" s="483" t="s">
        <v>218</v>
      </c>
      <c r="O4" s="483"/>
    </row>
    <row r="5" spans="2:15">
      <c r="B5" s="484" t="s">
        <v>220</v>
      </c>
      <c r="F5" s="57">
        <v>42.8</v>
      </c>
      <c r="G5" s="493"/>
      <c r="I5" s="127"/>
      <c r="N5" s="57">
        <v>92.3</v>
      </c>
      <c r="O5" s="493"/>
    </row>
    <row r="6" spans="2:15">
      <c r="B6" s="484" t="s">
        <v>221</v>
      </c>
      <c r="G6" s="128"/>
      <c r="I6" s="127"/>
      <c r="O6" s="128"/>
    </row>
    <row r="7" spans="2:15">
      <c r="B7" s="484" t="s">
        <v>222</v>
      </c>
      <c r="G7" s="128"/>
      <c r="I7" s="127"/>
      <c r="O7" s="128"/>
    </row>
    <row r="8" spans="2:15">
      <c r="B8" s="127"/>
      <c r="G8" s="128"/>
      <c r="I8" s="127"/>
      <c r="O8" s="128"/>
    </row>
    <row r="9" spans="2:15">
      <c r="B9" s="127"/>
      <c r="G9" s="128"/>
      <c r="I9" s="127"/>
      <c r="O9" s="128"/>
    </row>
    <row r="10" spans="2:15">
      <c r="B10" s="141" t="s">
        <v>223</v>
      </c>
      <c r="C10" s="141"/>
      <c r="D10" s="141"/>
      <c r="E10" s="141"/>
      <c r="F10" s="141"/>
      <c r="G10" s="141"/>
      <c r="I10" s="141" t="s">
        <v>223</v>
      </c>
      <c r="J10" s="141"/>
      <c r="K10" s="141"/>
      <c r="L10" s="141"/>
      <c r="M10" s="141"/>
      <c r="N10" s="141"/>
      <c r="O10" s="141"/>
    </row>
    <row r="11" spans="2:15">
      <c r="B11" s="17">
        <v>0</v>
      </c>
      <c r="C11" s="142">
        <f>B11+20</f>
        <v>20</v>
      </c>
      <c r="D11" s="142">
        <f>C11+20</f>
        <v>40</v>
      </c>
      <c r="E11" s="142">
        <f>D11+20</f>
        <v>60</v>
      </c>
      <c r="F11" s="142">
        <f>E11+20</f>
        <v>80</v>
      </c>
      <c r="G11" s="17">
        <v>100</v>
      </c>
      <c r="I11" s="17">
        <v>70</v>
      </c>
      <c r="J11" s="142">
        <f t="shared" ref="J11:O11" si="0">I11+10</f>
        <v>80</v>
      </c>
      <c r="K11" s="142">
        <f t="shared" si="0"/>
        <v>90</v>
      </c>
      <c r="L11" s="142">
        <f t="shared" si="0"/>
        <v>100</v>
      </c>
      <c r="M11" s="142">
        <f t="shared" si="0"/>
        <v>110</v>
      </c>
      <c r="N11" s="142">
        <f t="shared" si="0"/>
        <v>120</v>
      </c>
      <c r="O11" s="485">
        <f t="shared" si="0"/>
        <v>130</v>
      </c>
    </row>
    <row r="12" spans="2:15">
      <c r="B12" s="127"/>
      <c r="G12" s="128"/>
      <c r="I12" s="127"/>
      <c r="O12" s="128"/>
    </row>
    <row r="13" spans="2:15">
      <c r="B13" s="17">
        <v>47.93</v>
      </c>
      <c r="C13" s="486">
        <f>(($G$13-$B$13)/5)+B13</f>
        <v>58.793999999999997</v>
      </c>
      <c r="D13" s="486">
        <f>(($G$13-$B$13)/5)+C13</f>
        <v>69.658000000000001</v>
      </c>
      <c r="E13" s="486">
        <f>(($G$13-$B$13)/5)+D13</f>
        <v>80.522000000000006</v>
      </c>
      <c r="F13" s="486">
        <f>(($G$13-$B$13)/5)+E13</f>
        <v>91.38600000000001</v>
      </c>
      <c r="G13" s="17">
        <v>102.25</v>
      </c>
      <c r="I13" s="17">
        <v>90.5</v>
      </c>
      <c r="J13" s="486">
        <f>(($O$13-$I$13)/6)+I13</f>
        <v>95.2</v>
      </c>
      <c r="K13" s="486">
        <f>(($O$13-$I$13)/6)+J13</f>
        <v>99.9</v>
      </c>
      <c r="L13" s="486">
        <f>(($O$13-$I$13)/6)+K13</f>
        <v>104.60000000000001</v>
      </c>
      <c r="M13" s="486">
        <f>(($O$13-$I$13)/6)+L13</f>
        <v>109.30000000000001</v>
      </c>
      <c r="N13" s="486">
        <f>(($O$13-$I$13)/6)+M13</f>
        <v>114.00000000000001</v>
      </c>
      <c r="O13" s="17">
        <v>118.7</v>
      </c>
    </row>
    <row r="14" spans="2:15">
      <c r="B14" s="141" t="s">
        <v>224</v>
      </c>
      <c r="C14" s="141"/>
      <c r="D14" s="141"/>
      <c r="E14" s="141"/>
      <c r="F14" s="141"/>
      <c r="G14" s="141"/>
      <c r="I14" s="141" t="s">
        <v>224</v>
      </c>
      <c r="J14" s="141"/>
      <c r="K14" s="141"/>
      <c r="L14" s="141"/>
      <c r="M14" s="141"/>
      <c r="N14" s="141"/>
      <c r="O14" s="141"/>
    </row>
    <row r="15" spans="2:15">
      <c r="B15" s="127"/>
      <c r="G15" s="128"/>
      <c r="I15" s="127"/>
      <c r="O15" s="128"/>
    </row>
    <row r="16" spans="2:15">
      <c r="B16" s="20">
        <f>F5/B13</f>
        <v>0.8929689129981222</v>
      </c>
      <c r="C16" s="21">
        <f>F5/C13</f>
        <v>0.72796543865020236</v>
      </c>
      <c r="D16" s="21">
        <f>F5/D13</f>
        <v>0.61443050331620197</v>
      </c>
      <c r="E16" s="21">
        <f>F5/E13</f>
        <v>0.53153175529668906</v>
      </c>
      <c r="F16" s="21">
        <f>F5/F13</f>
        <v>0.46834307224301308</v>
      </c>
      <c r="G16" s="22">
        <f>F5/G13</f>
        <v>0.4185819070904645</v>
      </c>
      <c r="I16" s="23">
        <f>N5/I13</f>
        <v>1.0198895027624308</v>
      </c>
      <c r="J16" s="24">
        <f>N5/J13</f>
        <v>0.96953781512605031</v>
      </c>
      <c r="K16" s="24">
        <f>N5/K13</f>
        <v>0.92392392392392386</v>
      </c>
      <c r="L16" s="24">
        <f>N5/L13</f>
        <v>0.88240917782026762</v>
      </c>
      <c r="M16" s="24">
        <f>N5/M13</f>
        <v>0.84446477584629454</v>
      </c>
      <c r="N16" s="24">
        <f>N5/N13</f>
        <v>0.8096491228070174</v>
      </c>
      <c r="O16" s="25">
        <f>N5/O13</f>
        <v>0.77759056444818864</v>
      </c>
    </row>
    <row r="17" spans="2:15">
      <c r="J17" s="487"/>
      <c r="K17" s="487"/>
      <c r="L17" s="487"/>
      <c r="M17" s="487"/>
      <c r="N17" s="487"/>
    </row>
    <row r="19" spans="2:15">
      <c r="B19" s="141" t="s">
        <v>225</v>
      </c>
      <c r="C19" s="141"/>
      <c r="D19" s="141"/>
      <c r="E19" s="141"/>
      <c r="F19" s="141"/>
    </row>
    <row r="20" spans="2:15">
      <c r="B20" s="488" t="s">
        <v>226</v>
      </c>
      <c r="C20" s="482"/>
      <c r="D20" s="482"/>
      <c r="E20" s="483" t="s">
        <v>227</v>
      </c>
      <c r="F20" s="483"/>
      <c r="J20" s="481" t="s">
        <v>228</v>
      </c>
      <c r="K20" s="482"/>
      <c r="L20" s="482"/>
      <c r="M20" s="482"/>
      <c r="N20" s="483" t="s">
        <v>218</v>
      </c>
      <c r="O20" s="483"/>
    </row>
    <row r="21" spans="2:15">
      <c r="B21" s="127" t="s">
        <v>229</v>
      </c>
      <c r="E21" s="57">
        <v>13.882</v>
      </c>
      <c r="F21" s="493"/>
      <c r="J21" s="484" t="s">
        <v>230</v>
      </c>
      <c r="N21" s="57">
        <v>22.15</v>
      </c>
      <c r="O21" s="493"/>
    </row>
    <row r="22" spans="2:15">
      <c r="B22" s="127" t="s">
        <v>231</v>
      </c>
      <c r="F22" s="128"/>
      <c r="J22" s="484" t="s">
        <v>232</v>
      </c>
      <c r="O22" s="128"/>
    </row>
    <row r="23" spans="2:15">
      <c r="B23" s="127" t="s">
        <v>233</v>
      </c>
      <c r="F23" s="128"/>
      <c r="J23" s="484" t="s">
        <v>234</v>
      </c>
      <c r="O23" s="128"/>
    </row>
    <row r="24" spans="2:15">
      <c r="B24" s="127"/>
      <c r="F24" s="128"/>
      <c r="J24" s="127"/>
      <c r="O24" s="128"/>
    </row>
    <row r="25" spans="2:15">
      <c r="B25" s="489" t="s">
        <v>235</v>
      </c>
      <c r="C25" s="490" t="s">
        <v>236</v>
      </c>
      <c r="D25" s="490"/>
      <c r="E25" s="490"/>
      <c r="F25" s="489" t="s">
        <v>235</v>
      </c>
      <c r="J25" s="127"/>
      <c r="O25" s="128"/>
    </row>
    <row r="26" spans="2:15">
      <c r="B26" s="489"/>
      <c r="C26" s="490"/>
      <c r="D26" s="490"/>
      <c r="E26" s="490"/>
      <c r="F26" s="489"/>
      <c r="J26" s="141" t="s">
        <v>223</v>
      </c>
      <c r="K26" s="141"/>
      <c r="L26" s="141"/>
      <c r="M26" s="141"/>
      <c r="N26" s="141"/>
      <c r="O26" s="141"/>
    </row>
    <row r="27" spans="2:15">
      <c r="B27" s="28">
        <v>40</v>
      </c>
      <c r="C27" s="491">
        <f>B27+10</f>
        <v>50</v>
      </c>
      <c r="D27" s="491">
        <f>C27+10</f>
        <v>60</v>
      </c>
      <c r="E27" s="491">
        <f>D27+10</f>
        <v>70</v>
      </c>
      <c r="F27" s="491">
        <f>E27+10</f>
        <v>80</v>
      </c>
      <c r="J27" s="17">
        <v>0</v>
      </c>
      <c r="K27" s="142">
        <f>J27+10</f>
        <v>10</v>
      </c>
      <c r="L27" s="142">
        <f>K27+10</f>
        <v>20</v>
      </c>
      <c r="M27" s="142">
        <f>L27+10</f>
        <v>30</v>
      </c>
      <c r="N27" s="142">
        <f>M27+10</f>
        <v>40</v>
      </c>
      <c r="O27" s="485">
        <f>N27+10</f>
        <v>50</v>
      </c>
    </row>
    <row r="28" spans="2:15">
      <c r="B28" s="127"/>
      <c r="F28" s="128"/>
      <c r="J28" s="127"/>
      <c r="O28" s="128"/>
    </row>
    <row r="29" spans="2:15">
      <c r="B29" s="29">
        <v>12.3</v>
      </c>
      <c r="C29" s="492">
        <f>(($F$29-$B$29)/4)+B29</f>
        <v>14.275</v>
      </c>
      <c r="D29" s="492">
        <f>(($F$29-$B$29)/4)+C29</f>
        <v>16.25</v>
      </c>
      <c r="E29" s="492">
        <f>(($F$29-$B$29)/4)+D29</f>
        <v>18.225000000000001</v>
      </c>
      <c r="F29" s="29">
        <v>20.2</v>
      </c>
      <c r="J29" s="17">
        <v>14.9</v>
      </c>
      <c r="K29" s="486">
        <f>$J$29+($O$29-$J$29)*(K$27-$J$27)/($O$27-$J$27)</f>
        <v>17.84</v>
      </c>
      <c r="L29" s="486">
        <f>$J$29+($O$29-$J$29)*(L$27-$J$27)/($O$27-$J$27)</f>
        <v>20.78</v>
      </c>
      <c r="M29" s="486">
        <f>$J$29+($O$29-$J$29)*(M$27-$J$27)/($O$27-$J$27)</f>
        <v>23.72</v>
      </c>
      <c r="N29" s="486">
        <f>$J$29+($O$29-$J$29)*(N$27-$J$27)/($O$27-$J$27)</f>
        <v>26.66</v>
      </c>
      <c r="O29" s="17">
        <v>29.6</v>
      </c>
    </row>
    <row r="30" spans="2:15">
      <c r="B30" s="489" t="s">
        <v>235</v>
      </c>
      <c r="C30" s="490" t="s">
        <v>237</v>
      </c>
      <c r="D30" s="490"/>
      <c r="E30" s="490"/>
      <c r="F30" s="489" t="s">
        <v>235</v>
      </c>
      <c r="J30" s="141" t="s">
        <v>224</v>
      </c>
      <c r="K30" s="141"/>
      <c r="L30" s="141"/>
      <c r="M30" s="141"/>
      <c r="N30" s="141"/>
      <c r="O30" s="141"/>
    </row>
    <row r="31" spans="2:15">
      <c r="B31" s="489"/>
      <c r="C31" s="490"/>
      <c r="D31" s="490"/>
      <c r="E31" s="490"/>
      <c r="F31" s="489"/>
      <c r="J31" s="127"/>
      <c r="O31" s="128"/>
    </row>
    <row r="32" spans="2:15">
      <c r="B32" s="26">
        <f>E21/B29</f>
        <v>1.1286178861788616</v>
      </c>
      <c r="C32" s="26">
        <f>E21/C29</f>
        <v>0.97246935201401041</v>
      </c>
      <c r="D32" s="26">
        <f>E21/D29</f>
        <v>0.85427692307692304</v>
      </c>
      <c r="E32" s="26">
        <f>E21/E29</f>
        <v>0.76170096021947864</v>
      </c>
      <c r="F32" s="26">
        <f>E21/F29</f>
        <v>0.68722772277227728</v>
      </c>
      <c r="G32" s="27"/>
      <c r="J32" s="20">
        <f>N21/J29</f>
        <v>1.4865771812080535</v>
      </c>
      <c r="K32" s="21">
        <f>N21/K29</f>
        <v>1.241591928251121</v>
      </c>
      <c r="L32" s="21">
        <f>N21/L29</f>
        <v>1.0659287776708373</v>
      </c>
      <c r="M32" s="21">
        <f>N21/M29</f>
        <v>0.93381112984822934</v>
      </c>
      <c r="N32" s="21">
        <f>N21/N29</f>
        <v>0.83083270817704424</v>
      </c>
      <c r="O32" s="22">
        <f>N21/O29</f>
        <v>0.74831081081081074</v>
      </c>
    </row>
    <row r="34" spans="2:2">
      <c r="B34" s="572" t="s">
        <v>809</v>
      </c>
    </row>
    <row r="35" spans="2:2">
      <c r="B35" s="572" t="s">
        <v>810</v>
      </c>
    </row>
    <row r="36" spans="2:2">
      <c r="B36" s="572" t="s">
        <v>811</v>
      </c>
    </row>
    <row r="37" spans="2:2">
      <c r="B37" s="573" t="s">
        <v>812</v>
      </c>
    </row>
    <row r="38" spans="2:2">
      <c r="B38" s="573" t="s">
        <v>813</v>
      </c>
    </row>
  </sheetData>
  <sheetProtection sheet="1" objects="1" scenarios="1" selectLockedCells="1"/>
  <mergeCells count="21">
    <mergeCell ref="B25:B26"/>
    <mergeCell ref="C25:E26"/>
    <mergeCell ref="F25:F26"/>
    <mergeCell ref="J26:O26"/>
    <mergeCell ref="B30:B31"/>
    <mergeCell ref="C30:E31"/>
    <mergeCell ref="F30:F31"/>
    <mergeCell ref="J30:O30"/>
    <mergeCell ref="E21:F21"/>
    <mergeCell ref="N21:O21"/>
    <mergeCell ref="F4:G4"/>
    <mergeCell ref="N4:O4"/>
    <mergeCell ref="F5:G5"/>
    <mergeCell ref="N5:O5"/>
    <mergeCell ref="B10:G10"/>
    <mergeCell ref="I10:O10"/>
    <mergeCell ref="B14:G14"/>
    <mergeCell ref="I14:O14"/>
    <mergeCell ref="B19:F19"/>
    <mergeCell ref="E20:F20"/>
    <mergeCell ref="N20:O20"/>
  </mergeCells>
  <hyperlinks>
    <hyperlink ref="G2" location="Home!A1" display="Home" xr:uid="{45B260D6-AF81-46C7-A421-DBCE1BCAABCD}"/>
    <hyperlink ref="B37" r:id="rId1" xr:uid="{7630D1FB-540E-4F4E-98A7-D905065DD089}"/>
    <hyperlink ref="B38" r:id="rId2" xr:uid="{23AFC433-DF87-45CB-8B48-6ACA11180B31}"/>
  </hyperlinks>
  <pageMargins left="0.25" right="0.25" top="0.75" bottom="0.75" header="0.3" footer="0.3"/>
  <pageSetup paperSize="9" scale="81" orientation="landscape" horizontalDpi="300" verticalDpi="300"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5D7D8-9B69-409D-B86D-895D08A8F487}">
  <sheetPr codeName="Sheet6">
    <pageSetUpPr fitToPage="1"/>
  </sheetPr>
  <dimension ref="B2:AD36"/>
  <sheetViews>
    <sheetView showGridLines="0" showRowColHeaders="0" workbookViewId="0">
      <selection activeCell="N13" sqref="N13"/>
    </sheetView>
  </sheetViews>
  <sheetFormatPr defaultRowHeight="15"/>
  <cols>
    <col min="1" max="1" width="2.28515625" style="68" customWidth="1"/>
    <col min="2" max="2" width="5.42578125" style="68" bestFit="1" customWidth="1"/>
    <col min="3" max="7" width="8" style="68" bestFit="1" customWidth="1"/>
    <col min="8" max="8" width="8" style="68" customWidth="1"/>
    <col min="9" max="12" width="8" style="68" bestFit="1" customWidth="1"/>
    <col min="13" max="14" width="8" style="68" customWidth="1"/>
    <col min="15" max="15" width="8" style="68" bestFit="1" customWidth="1"/>
    <col min="16" max="17" width="8" style="143" bestFit="1" customWidth="1"/>
    <col min="18" max="24" width="8" style="68" bestFit="1" customWidth="1"/>
    <col min="25" max="25" width="7.42578125" style="68" bestFit="1" customWidth="1"/>
    <col min="26" max="27" width="7" style="68" bestFit="1" customWidth="1"/>
    <col min="28" max="28" width="8.140625" style="68" bestFit="1" customWidth="1"/>
    <col min="29" max="29" width="11.140625" style="68" bestFit="1" customWidth="1"/>
    <col min="30" max="30" width="5.42578125" style="68" bestFit="1" customWidth="1"/>
    <col min="31" max="16384" width="9.140625" style="68"/>
  </cols>
  <sheetData>
    <row r="2" spans="2:30" ht="20.25">
      <c r="B2" s="146" t="s">
        <v>628</v>
      </c>
      <c r="I2" s="592" t="s">
        <v>298</v>
      </c>
      <c r="M2" s="68" t="s">
        <v>669</v>
      </c>
    </row>
    <row r="3" spans="2:30" ht="17.25">
      <c r="B3" s="494"/>
      <c r="N3" s="19"/>
    </row>
    <row r="4" spans="2:30">
      <c r="C4" s="490" t="s">
        <v>277</v>
      </c>
      <c r="D4" s="490"/>
      <c r="E4" s="490"/>
      <c r="F4" s="490"/>
      <c r="G4" s="490"/>
      <c r="H4" s="490"/>
      <c r="I4" s="490"/>
      <c r="J4" s="490"/>
      <c r="K4" s="490"/>
      <c r="L4" s="490"/>
      <c r="M4" s="490"/>
      <c r="N4" s="490"/>
      <c r="O4" s="490"/>
      <c r="P4" s="490"/>
      <c r="Q4" s="490"/>
      <c r="R4" s="490"/>
      <c r="S4" s="490"/>
      <c r="T4" s="490"/>
      <c r="U4" s="490"/>
      <c r="V4" s="490"/>
      <c r="W4" s="490"/>
      <c r="X4" s="490"/>
    </row>
    <row r="5" spans="2:30">
      <c r="B5" s="485" t="s">
        <v>95</v>
      </c>
      <c r="C5" s="495" t="s">
        <v>259</v>
      </c>
      <c r="D5" s="495" t="s">
        <v>258</v>
      </c>
      <c r="E5" s="495" t="s">
        <v>260</v>
      </c>
      <c r="F5" s="495" t="s">
        <v>261</v>
      </c>
      <c r="G5" s="495" t="s">
        <v>262</v>
      </c>
      <c r="H5" s="495" t="s">
        <v>283</v>
      </c>
      <c r="I5" s="495" t="s">
        <v>263</v>
      </c>
      <c r="J5" s="495" t="s">
        <v>264</v>
      </c>
      <c r="K5" s="495" t="s">
        <v>265</v>
      </c>
      <c r="L5" s="495" t="s">
        <v>266</v>
      </c>
      <c r="M5" s="495" t="s">
        <v>293</v>
      </c>
      <c r="N5" s="495" t="s">
        <v>294</v>
      </c>
      <c r="O5" s="495" t="s">
        <v>267</v>
      </c>
      <c r="P5" s="495" t="s">
        <v>268</v>
      </c>
      <c r="Q5" s="495" t="s">
        <v>269</v>
      </c>
      <c r="R5" s="495" t="s">
        <v>270</v>
      </c>
      <c r="S5" s="495" t="s">
        <v>271</v>
      </c>
      <c r="T5" s="495" t="s">
        <v>272</v>
      </c>
      <c r="U5" s="495" t="s">
        <v>273</v>
      </c>
      <c r="V5" s="495" t="s">
        <v>274</v>
      </c>
      <c r="W5" s="495" t="s">
        <v>275</v>
      </c>
      <c r="X5" s="495" t="s">
        <v>276</v>
      </c>
      <c r="Y5" s="495" t="s">
        <v>132</v>
      </c>
      <c r="Z5" s="495" t="s">
        <v>133</v>
      </c>
      <c r="AA5" s="495" t="s">
        <v>257</v>
      </c>
      <c r="AB5" s="495" t="s">
        <v>244</v>
      </c>
      <c r="AC5" s="495" t="s">
        <v>288</v>
      </c>
      <c r="AD5" s="485" t="s">
        <v>95</v>
      </c>
    </row>
    <row r="6" spans="2:30">
      <c r="B6" s="496">
        <v>1</v>
      </c>
      <c r="C6" s="496">
        <v>3300</v>
      </c>
      <c r="D6" s="496">
        <v>4500</v>
      </c>
      <c r="E6" s="496">
        <v>5700</v>
      </c>
      <c r="F6" s="496">
        <v>5700</v>
      </c>
      <c r="G6" s="496">
        <v>8800</v>
      </c>
      <c r="H6" s="496">
        <v>7400</v>
      </c>
      <c r="I6" s="496">
        <v>7400</v>
      </c>
      <c r="J6" s="496">
        <v>8800</v>
      </c>
      <c r="K6" s="496">
        <v>9200</v>
      </c>
      <c r="L6" s="496">
        <v>8800</v>
      </c>
      <c r="M6" s="496">
        <v>8800</v>
      </c>
      <c r="N6" s="496">
        <v>9200</v>
      </c>
      <c r="O6" s="496">
        <v>10500</v>
      </c>
      <c r="P6" s="496">
        <v>10500</v>
      </c>
      <c r="Q6" s="496">
        <v>10500</v>
      </c>
      <c r="R6" s="496">
        <v>10600</v>
      </c>
      <c r="S6" s="496">
        <v>12200</v>
      </c>
      <c r="T6" s="496">
        <v>12200</v>
      </c>
      <c r="U6" s="496">
        <v>12700</v>
      </c>
      <c r="V6" s="496">
        <v>12700</v>
      </c>
      <c r="W6" s="496">
        <v>12700</v>
      </c>
      <c r="X6" s="496">
        <v>14300</v>
      </c>
      <c r="Y6" s="496">
        <v>16100</v>
      </c>
      <c r="Z6" s="496">
        <v>18100</v>
      </c>
      <c r="AA6" s="496">
        <v>15300</v>
      </c>
      <c r="AB6" s="496">
        <v>10500</v>
      </c>
      <c r="AC6" s="496">
        <v>6300</v>
      </c>
      <c r="AD6" s="496">
        <v>1</v>
      </c>
    </row>
    <row r="7" spans="2:30">
      <c r="B7" s="496">
        <v>2</v>
      </c>
      <c r="C7" s="496">
        <v>6600</v>
      </c>
      <c r="D7" s="496">
        <v>9000</v>
      </c>
      <c r="E7" s="496">
        <v>11400</v>
      </c>
      <c r="F7" s="496">
        <v>11400</v>
      </c>
      <c r="G7" s="496">
        <v>17500</v>
      </c>
      <c r="H7" s="496">
        <v>14700</v>
      </c>
      <c r="I7" s="496">
        <v>14700</v>
      </c>
      <c r="J7" s="496">
        <v>17500</v>
      </c>
      <c r="K7" s="496">
        <v>18300</v>
      </c>
      <c r="L7" s="496">
        <v>17500</v>
      </c>
      <c r="M7" s="496">
        <v>17500</v>
      </c>
      <c r="N7" s="496">
        <v>18300</v>
      </c>
      <c r="O7" s="496">
        <v>20900</v>
      </c>
      <c r="P7" s="496">
        <v>20900</v>
      </c>
      <c r="Q7" s="496">
        <v>20900</v>
      </c>
      <c r="R7" s="496">
        <v>21000</v>
      </c>
      <c r="S7" s="496">
        <v>24300</v>
      </c>
      <c r="T7" s="496">
        <v>24300</v>
      </c>
      <c r="U7" s="496">
        <v>25200</v>
      </c>
      <c r="V7" s="496">
        <v>25100</v>
      </c>
      <c r="W7" s="496">
        <v>25200</v>
      </c>
      <c r="X7" s="496">
        <v>28300</v>
      </c>
      <c r="Y7" s="496">
        <v>31900</v>
      </c>
      <c r="Z7" s="496">
        <v>35900</v>
      </c>
      <c r="AA7" s="496">
        <v>29380</v>
      </c>
      <c r="AB7" s="496">
        <v>20900</v>
      </c>
      <c r="AC7" s="496">
        <v>12600</v>
      </c>
      <c r="AD7" s="496">
        <v>2</v>
      </c>
    </row>
    <row r="8" spans="2:30">
      <c r="B8" s="496">
        <v>3</v>
      </c>
      <c r="C8" s="496">
        <v>9800</v>
      </c>
      <c r="D8" s="496">
        <v>13400</v>
      </c>
      <c r="E8" s="496">
        <v>16900</v>
      </c>
      <c r="F8" s="496">
        <v>16900</v>
      </c>
      <c r="G8" s="496">
        <v>26100</v>
      </c>
      <c r="H8" s="496">
        <v>22000</v>
      </c>
      <c r="I8" s="496">
        <v>22000</v>
      </c>
      <c r="J8" s="496">
        <v>26100</v>
      </c>
      <c r="K8" s="496">
        <v>27200</v>
      </c>
      <c r="L8" s="496">
        <v>26100</v>
      </c>
      <c r="M8" s="496">
        <v>26100</v>
      </c>
      <c r="N8" s="496">
        <v>27300</v>
      </c>
      <c r="O8" s="496">
        <v>31100</v>
      </c>
      <c r="P8" s="496">
        <v>31200</v>
      </c>
      <c r="Q8" s="496">
        <v>31200</v>
      </c>
      <c r="R8" s="496">
        <v>31300</v>
      </c>
      <c r="S8" s="496">
        <v>36200</v>
      </c>
      <c r="T8" s="496">
        <v>36200</v>
      </c>
      <c r="U8" s="496">
        <v>37500</v>
      </c>
      <c r="V8" s="496">
        <v>37400</v>
      </c>
      <c r="W8" s="496">
        <v>37500</v>
      </c>
      <c r="X8" s="496">
        <v>42100</v>
      </c>
      <c r="Y8" s="496">
        <v>47500</v>
      </c>
      <c r="Z8" s="496">
        <v>53400</v>
      </c>
      <c r="AA8" s="496">
        <v>44060</v>
      </c>
      <c r="AB8" s="496">
        <v>31200</v>
      </c>
      <c r="AC8" s="496">
        <v>18700</v>
      </c>
      <c r="AD8" s="496">
        <v>3</v>
      </c>
    </row>
    <row r="9" spans="2:30">
      <c r="B9" s="497">
        <v>4</v>
      </c>
      <c r="C9" s="497">
        <v>13000</v>
      </c>
      <c r="D9" s="497">
        <v>17700</v>
      </c>
      <c r="E9" s="497">
        <v>22400</v>
      </c>
      <c r="F9" s="497">
        <v>22400</v>
      </c>
      <c r="G9" s="497">
        <v>34600</v>
      </c>
      <c r="H9" s="497">
        <v>29100</v>
      </c>
      <c r="I9" s="497">
        <v>29100</v>
      </c>
      <c r="J9" s="497">
        <v>34600</v>
      </c>
      <c r="K9" s="497">
        <v>36000</v>
      </c>
      <c r="L9" s="497">
        <v>34600</v>
      </c>
      <c r="M9" s="497">
        <v>34600</v>
      </c>
      <c r="N9" s="497">
        <v>36100</v>
      </c>
      <c r="O9" s="497">
        <v>41200</v>
      </c>
      <c r="P9" s="497">
        <v>41200</v>
      </c>
      <c r="Q9" s="497">
        <v>41200</v>
      </c>
      <c r="R9" s="497">
        <v>41500</v>
      </c>
      <c r="S9" s="497">
        <v>47900</v>
      </c>
      <c r="T9" s="497">
        <v>47900</v>
      </c>
      <c r="U9" s="497">
        <v>49600</v>
      </c>
      <c r="V9" s="497">
        <v>49500</v>
      </c>
      <c r="W9" s="497">
        <v>49600</v>
      </c>
      <c r="X9" s="497">
        <v>55800</v>
      </c>
      <c r="Y9" s="497">
        <v>62800</v>
      </c>
      <c r="Z9" s="497">
        <v>70700</v>
      </c>
      <c r="AA9" s="497">
        <v>58750</v>
      </c>
      <c r="AB9" s="497">
        <v>41200</v>
      </c>
      <c r="AC9" s="497">
        <v>24700</v>
      </c>
      <c r="AD9" s="497">
        <v>4</v>
      </c>
    </row>
    <row r="10" spans="2:30">
      <c r="B10" s="496">
        <v>5</v>
      </c>
      <c r="C10" s="496">
        <v>16100</v>
      </c>
      <c r="D10" s="496">
        <v>21900</v>
      </c>
      <c r="E10" s="496">
        <v>27800</v>
      </c>
      <c r="F10" s="496">
        <v>27800</v>
      </c>
      <c r="G10" s="496">
        <v>42900</v>
      </c>
      <c r="H10" s="496">
        <v>36100</v>
      </c>
      <c r="I10" s="496">
        <v>36100</v>
      </c>
      <c r="J10" s="496">
        <v>42900</v>
      </c>
      <c r="K10" s="496">
        <v>44600</v>
      </c>
      <c r="L10" s="496">
        <v>42900</v>
      </c>
      <c r="M10" s="496">
        <v>42900</v>
      </c>
      <c r="N10" s="496">
        <v>44800</v>
      </c>
      <c r="O10" s="496">
        <v>51100</v>
      </c>
      <c r="P10" s="496">
        <v>51200</v>
      </c>
      <c r="Q10" s="496">
        <v>51200</v>
      </c>
      <c r="R10" s="496">
        <v>51400</v>
      </c>
      <c r="S10" s="496">
        <v>59400</v>
      </c>
      <c r="T10" s="496">
        <v>59400</v>
      </c>
      <c r="U10" s="496">
        <v>61600</v>
      </c>
      <c r="V10" s="496">
        <v>61400</v>
      </c>
      <c r="W10" s="496">
        <v>61600</v>
      </c>
      <c r="X10" s="496">
        <v>69200</v>
      </c>
      <c r="Y10" s="496">
        <v>78000</v>
      </c>
      <c r="Z10" s="496">
        <v>87700</v>
      </c>
      <c r="AA10" s="496">
        <v>73440</v>
      </c>
      <c r="AB10" s="496">
        <v>51200</v>
      </c>
      <c r="AC10" s="496">
        <v>30700</v>
      </c>
      <c r="AD10" s="496">
        <v>5</v>
      </c>
    </row>
    <row r="11" spans="2:30">
      <c r="B11" s="478">
        <v>6</v>
      </c>
      <c r="C11" s="478">
        <v>19100</v>
      </c>
      <c r="D11" s="478">
        <v>26100</v>
      </c>
      <c r="E11" s="478">
        <v>33100</v>
      </c>
      <c r="F11" s="478">
        <v>33100</v>
      </c>
      <c r="G11" s="478">
        <v>51100</v>
      </c>
      <c r="H11" s="478">
        <v>42900</v>
      </c>
      <c r="I11" s="478">
        <v>42900</v>
      </c>
      <c r="J11" s="478">
        <v>51100</v>
      </c>
      <c r="K11" s="478">
        <v>53200</v>
      </c>
      <c r="L11" s="478">
        <v>51100</v>
      </c>
      <c r="M11" s="478">
        <v>51100</v>
      </c>
      <c r="N11" s="478">
        <v>53400</v>
      </c>
      <c r="O11" s="478">
        <v>60800</v>
      </c>
      <c r="P11" s="478">
        <v>60900</v>
      </c>
      <c r="Q11" s="478">
        <v>60900</v>
      </c>
      <c r="R11" s="478">
        <v>61300</v>
      </c>
      <c r="S11" s="478">
        <v>70800</v>
      </c>
      <c r="T11" s="478">
        <v>70800</v>
      </c>
      <c r="U11" s="478">
        <v>73400</v>
      </c>
      <c r="V11" s="478">
        <v>73100</v>
      </c>
      <c r="W11" s="478">
        <v>73400</v>
      </c>
      <c r="X11" s="478">
        <v>82400</v>
      </c>
      <c r="Y11" s="478">
        <v>92800</v>
      </c>
      <c r="Z11" s="478">
        <v>104500</v>
      </c>
      <c r="AA11" s="478">
        <v>88130</v>
      </c>
      <c r="AB11" s="478">
        <v>60900</v>
      </c>
      <c r="AC11" s="478">
        <v>36600</v>
      </c>
      <c r="AD11" s="478">
        <v>6</v>
      </c>
    </row>
    <row r="12" spans="2:30">
      <c r="B12" s="496">
        <v>7</v>
      </c>
      <c r="C12" s="496">
        <v>22200</v>
      </c>
      <c r="D12" s="496">
        <v>30200</v>
      </c>
      <c r="E12" s="496">
        <v>38300</v>
      </c>
      <c r="F12" s="496">
        <v>38300</v>
      </c>
      <c r="G12" s="496">
        <v>59100</v>
      </c>
      <c r="H12" s="496">
        <v>49700</v>
      </c>
      <c r="I12" s="496">
        <v>49700</v>
      </c>
      <c r="J12" s="496">
        <v>59100</v>
      </c>
      <c r="K12" s="496">
        <v>61600</v>
      </c>
      <c r="L12" s="496">
        <v>59100</v>
      </c>
      <c r="M12" s="496">
        <v>59100</v>
      </c>
      <c r="N12" s="496">
        <v>61800</v>
      </c>
      <c r="O12" s="496">
        <v>70400</v>
      </c>
      <c r="P12" s="496">
        <v>70600</v>
      </c>
      <c r="Q12" s="496">
        <v>70600</v>
      </c>
      <c r="R12" s="496">
        <v>71000</v>
      </c>
      <c r="S12" s="496">
        <v>82000</v>
      </c>
      <c r="T12" s="496">
        <v>82000</v>
      </c>
      <c r="U12" s="496">
        <v>84900</v>
      </c>
      <c r="V12" s="496">
        <v>85000</v>
      </c>
      <c r="W12" s="496">
        <v>84900</v>
      </c>
      <c r="X12" s="496">
        <v>95400</v>
      </c>
      <c r="Y12" s="496">
        <v>107500</v>
      </c>
      <c r="Z12" s="496">
        <v>121000</v>
      </c>
      <c r="AA12" s="496">
        <v>96400</v>
      </c>
      <c r="AB12" s="496">
        <v>70600</v>
      </c>
      <c r="AC12" s="496">
        <v>42300</v>
      </c>
      <c r="AD12" s="496">
        <v>7</v>
      </c>
    </row>
    <row r="13" spans="2:30">
      <c r="B13" s="498">
        <v>8</v>
      </c>
      <c r="C13" s="498">
        <v>25200</v>
      </c>
      <c r="D13" s="498">
        <v>34300</v>
      </c>
      <c r="E13" s="498">
        <v>43500</v>
      </c>
      <c r="F13" s="498">
        <v>43500</v>
      </c>
      <c r="G13" s="498">
        <v>67100</v>
      </c>
      <c r="H13" s="498">
        <v>56400</v>
      </c>
      <c r="I13" s="498">
        <v>56400</v>
      </c>
      <c r="J13" s="498">
        <v>67100</v>
      </c>
      <c r="K13" s="498">
        <v>69800</v>
      </c>
      <c r="L13" s="498">
        <v>67100</v>
      </c>
      <c r="M13" s="498">
        <v>67100</v>
      </c>
      <c r="N13" s="498">
        <v>70100</v>
      </c>
      <c r="O13" s="498">
        <v>79900</v>
      </c>
      <c r="P13" s="498">
        <v>80000</v>
      </c>
      <c r="Q13" s="498">
        <v>80000</v>
      </c>
      <c r="R13" s="498">
        <v>80500</v>
      </c>
      <c r="S13" s="498">
        <v>93000</v>
      </c>
      <c r="T13" s="498">
        <v>93000</v>
      </c>
      <c r="U13" s="498">
        <v>96400</v>
      </c>
      <c r="V13" s="498">
        <v>96100</v>
      </c>
      <c r="W13" s="498">
        <v>96400</v>
      </c>
      <c r="X13" s="498">
        <v>108300</v>
      </c>
      <c r="Y13" s="498">
        <v>122000</v>
      </c>
      <c r="Z13" s="498">
        <v>137200</v>
      </c>
      <c r="AA13" s="498">
        <v>110160</v>
      </c>
      <c r="AB13" s="498">
        <v>80000</v>
      </c>
      <c r="AC13" s="498">
        <v>48000</v>
      </c>
      <c r="AD13" s="498">
        <v>8</v>
      </c>
    </row>
    <row r="14" spans="2:30">
      <c r="B14" s="496">
        <v>9</v>
      </c>
      <c r="C14" s="496">
        <v>28100</v>
      </c>
      <c r="D14" s="496">
        <v>38300</v>
      </c>
      <c r="E14" s="496">
        <v>48500</v>
      </c>
      <c r="F14" s="496">
        <v>48500</v>
      </c>
      <c r="G14" s="496">
        <v>74900</v>
      </c>
      <c r="H14" s="496">
        <v>63000</v>
      </c>
      <c r="I14" s="496">
        <v>63000</v>
      </c>
      <c r="J14" s="496">
        <v>74900</v>
      </c>
      <c r="K14" s="496">
        <v>78000</v>
      </c>
      <c r="L14" s="496">
        <v>74900</v>
      </c>
      <c r="M14" s="496">
        <v>74900</v>
      </c>
      <c r="N14" s="496">
        <v>78300</v>
      </c>
      <c r="O14" s="496">
        <v>89200</v>
      </c>
      <c r="P14" s="496">
        <v>89400</v>
      </c>
      <c r="Q14" s="496">
        <v>89400</v>
      </c>
      <c r="R14" s="496">
        <v>89900</v>
      </c>
      <c r="S14" s="496">
        <v>103900</v>
      </c>
      <c r="T14" s="496">
        <v>103900</v>
      </c>
      <c r="U14" s="496">
        <v>107600</v>
      </c>
      <c r="V14" s="496">
        <v>107300</v>
      </c>
      <c r="W14" s="496">
        <v>107600</v>
      </c>
      <c r="X14" s="496">
        <v>120900</v>
      </c>
      <c r="Y14" s="496">
        <v>136200</v>
      </c>
      <c r="Z14" s="496">
        <v>153200</v>
      </c>
      <c r="AA14" s="496">
        <v>123930</v>
      </c>
      <c r="AB14" s="496">
        <v>89400</v>
      </c>
      <c r="AC14" s="496">
        <v>53600</v>
      </c>
      <c r="AD14" s="496">
        <v>9</v>
      </c>
    </row>
    <row r="15" spans="2:30">
      <c r="B15" s="496">
        <v>10</v>
      </c>
      <c r="C15" s="496">
        <v>31000</v>
      </c>
      <c r="D15" s="496">
        <v>42300</v>
      </c>
      <c r="E15" s="496">
        <v>53500</v>
      </c>
      <c r="F15" s="496">
        <v>53500</v>
      </c>
      <c r="G15" s="496">
        <v>83000</v>
      </c>
      <c r="H15" s="496">
        <v>69500</v>
      </c>
      <c r="I15" s="496">
        <v>69500</v>
      </c>
      <c r="J15" s="496">
        <v>83000</v>
      </c>
      <c r="K15" s="496">
        <v>86000</v>
      </c>
      <c r="L15" s="496">
        <v>82600</v>
      </c>
      <c r="M15" s="496">
        <v>82600</v>
      </c>
      <c r="N15" s="496">
        <v>86400</v>
      </c>
      <c r="O15" s="496">
        <v>98400</v>
      </c>
      <c r="P15" s="496">
        <v>98600</v>
      </c>
      <c r="Q15" s="496">
        <v>98600</v>
      </c>
      <c r="R15" s="496">
        <v>99200</v>
      </c>
      <c r="S15" s="496">
        <v>114600</v>
      </c>
      <c r="T15" s="496">
        <v>114600</v>
      </c>
      <c r="U15" s="496">
        <v>119000</v>
      </c>
      <c r="V15" s="496">
        <v>118300</v>
      </c>
      <c r="W15" s="496">
        <v>118700</v>
      </c>
      <c r="X15" s="496">
        <v>133300</v>
      </c>
      <c r="Y15" s="496">
        <v>150200</v>
      </c>
      <c r="Z15" s="496">
        <v>169000</v>
      </c>
      <c r="AA15" s="496">
        <v>137700</v>
      </c>
      <c r="AB15" s="496">
        <v>98600</v>
      </c>
      <c r="AC15" s="496">
        <v>59200</v>
      </c>
      <c r="AD15" s="496">
        <v>10</v>
      </c>
    </row>
    <row r="16" spans="2:30">
      <c r="B16" s="496">
        <v>11</v>
      </c>
      <c r="C16" s="499"/>
      <c r="D16" s="496">
        <v>46100</v>
      </c>
      <c r="E16" s="496">
        <v>58400</v>
      </c>
      <c r="F16" s="496">
        <v>58400</v>
      </c>
      <c r="G16" s="499"/>
      <c r="H16" s="499"/>
      <c r="I16" s="499"/>
      <c r="J16" s="499"/>
      <c r="K16" s="499"/>
      <c r="L16" s="496">
        <v>90200</v>
      </c>
      <c r="M16" s="496">
        <v>90200</v>
      </c>
      <c r="N16" s="496"/>
      <c r="O16" s="496">
        <v>107400</v>
      </c>
      <c r="P16" s="496">
        <v>107700</v>
      </c>
      <c r="Q16" s="496">
        <v>107700</v>
      </c>
      <c r="R16" s="496">
        <v>108300</v>
      </c>
      <c r="S16" s="496">
        <v>125100</v>
      </c>
      <c r="T16" s="496">
        <v>125100</v>
      </c>
      <c r="U16" s="496">
        <v>129600</v>
      </c>
      <c r="V16" s="496">
        <v>129200</v>
      </c>
      <c r="W16" s="496">
        <v>129600</v>
      </c>
      <c r="X16" s="496">
        <v>145600</v>
      </c>
      <c r="Y16" s="496">
        <v>164000</v>
      </c>
      <c r="Z16" s="496">
        <v>184500</v>
      </c>
      <c r="AA16" s="496"/>
      <c r="AB16" s="496">
        <v>107700</v>
      </c>
      <c r="AC16" s="496">
        <v>64600</v>
      </c>
      <c r="AD16" s="496">
        <v>11</v>
      </c>
    </row>
    <row r="17" spans="2:30">
      <c r="B17" s="496">
        <v>12</v>
      </c>
      <c r="C17" s="499"/>
      <c r="D17" s="496">
        <v>50000</v>
      </c>
      <c r="E17" s="496">
        <v>63300</v>
      </c>
      <c r="F17" s="496">
        <v>63300</v>
      </c>
      <c r="G17" s="500"/>
      <c r="H17" s="500"/>
      <c r="I17" s="500"/>
      <c r="J17" s="499"/>
      <c r="K17" s="499"/>
      <c r="L17" s="496">
        <v>97700</v>
      </c>
      <c r="M17" s="496">
        <v>97700</v>
      </c>
      <c r="N17" s="496"/>
      <c r="O17" s="496">
        <v>116400</v>
      </c>
      <c r="P17" s="496">
        <v>116600</v>
      </c>
      <c r="Q17" s="496">
        <v>116600</v>
      </c>
      <c r="R17" s="496">
        <v>117200</v>
      </c>
      <c r="S17" s="496">
        <v>135500</v>
      </c>
      <c r="T17" s="496">
        <v>135500</v>
      </c>
      <c r="U17" s="496">
        <v>140300</v>
      </c>
      <c r="V17" s="496">
        <v>139900</v>
      </c>
      <c r="W17" s="496">
        <v>140300</v>
      </c>
      <c r="X17" s="496">
        <v>157700</v>
      </c>
      <c r="Y17" s="496">
        <v>177600</v>
      </c>
      <c r="Z17" s="496">
        <v>199900</v>
      </c>
      <c r="AA17" s="496"/>
      <c r="AB17" s="496">
        <v>116600</v>
      </c>
      <c r="AC17" s="496">
        <v>69900</v>
      </c>
      <c r="AD17" s="496">
        <v>12</v>
      </c>
    </row>
    <row r="18" spans="2:30">
      <c r="B18" s="496">
        <v>13</v>
      </c>
      <c r="C18" s="499"/>
      <c r="D18" s="496">
        <v>53700</v>
      </c>
      <c r="E18" s="496">
        <v>68100</v>
      </c>
      <c r="F18" s="496"/>
      <c r="G18" s="496"/>
      <c r="H18" s="496"/>
      <c r="I18" s="496"/>
      <c r="J18" s="499"/>
      <c r="K18" s="499"/>
      <c r="L18" s="496">
        <v>105100</v>
      </c>
      <c r="M18" s="496">
        <v>105100</v>
      </c>
      <c r="N18" s="496"/>
      <c r="O18" s="496">
        <v>125100</v>
      </c>
      <c r="P18" s="496">
        <v>125400</v>
      </c>
      <c r="Q18" s="496">
        <v>125400</v>
      </c>
      <c r="R18" s="496">
        <v>126100</v>
      </c>
      <c r="S18" s="496">
        <v>145700</v>
      </c>
      <c r="T18" s="496">
        <v>145700</v>
      </c>
      <c r="U18" s="496">
        <v>150900</v>
      </c>
      <c r="V18" s="496">
        <v>150500</v>
      </c>
      <c r="W18" s="496">
        <v>150900</v>
      </c>
      <c r="X18" s="496">
        <v>169600</v>
      </c>
      <c r="Y18" s="496">
        <v>191000</v>
      </c>
      <c r="Z18" s="496">
        <v>214900</v>
      </c>
      <c r="AA18" s="496"/>
      <c r="AB18" s="496">
        <v>125400</v>
      </c>
      <c r="AC18" s="496">
        <v>75200</v>
      </c>
      <c r="AD18" s="496">
        <v>13</v>
      </c>
    </row>
    <row r="19" spans="2:30">
      <c r="B19" s="496">
        <v>14</v>
      </c>
      <c r="C19" s="499"/>
      <c r="D19" s="474">
        <v>57400</v>
      </c>
      <c r="E19" s="474">
        <v>72800</v>
      </c>
      <c r="F19" s="496"/>
      <c r="G19" s="496"/>
      <c r="H19" s="496"/>
      <c r="I19" s="496"/>
      <c r="J19" s="499"/>
      <c r="K19" s="499"/>
      <c r="L19" s="474">
        <v>112300</v>
      </c>
      <c r="M19" s="474">
        <v>112000</v>
      </c>
      <c r="N19" s="474"/>
      <c r="O19" s="474">
        <v>134000</v>
      </c>
      <c r="P19" s="474">
        <v>134000</v>
      </c>
      <c r="Q19" s="474">
        <v>134000</v>
      </c>
      <c r="R19" s="474">
        <v>135000</v>
      </c>
      <c r="S19" s="474">
        <v>155700</v>
      </c>
      <c r="T19" s="474">
        <v>155700</v>
      </c>
      <c r="U19" s="474">
        <v>161400</v>
      </c>
      <c r="V19" s="496">
        <v>160800</v>
      </c>
      <c r="W19" s="496">
        <v>161400</v>
      </c>
      <c r="X19" s="474">
        <v>181300</v>
      </c>
      <c r="Y19" s="474">
        <v>204200</v>
      </c>
      <c r="Z19" s="474">
        <v>229800</v>
      </c>
      <c r="AA19" s="474"/>
      <c r="AB19" s="474"/>
      <c r="AC19" s="474">
        <v>80400</v>
      </c>
      <c r="AD19" s="496">
        <v>14</v>
      </c>
    </row>
    <row r="20" spans="2:30">
      <c r="B20" s="496">
        <v>15</v>
      </c>
      <c r="C20" s="501"/>
      <c r="D20" s="501"/>
      <c r="E20" s="501"/>
      <c r="F20" s="501"/>
      <c r="G20" s="501"/>
      <c r="H20" s="501"/>
      <c r="I20" s="501"/>
      <c r="J20" s="501"/>
      <c r="K20" s="501"/>
      <c r="L20" s="501"/>
      <c r="M20" s="501"/>
      <c r="N20" s="501"/>
      <c r="O20" s="501"/>
      <c r="P20" s="474">
        <v>142600</v>
      </c>
      <c r="Q20" s="474">
        <v>142600</v>
      </c>
      <c r="R20" s="499"/>
      <c r="S20" s="474">
        <v>165700</v>
      </c>
      <c r="T20" s="474">
        <v>165700</v>
      </c>
      <c r="U20" s="474">
        <v>171600</v>
      </c>
      <c r="V20" s="496">
        <v>171100</v>
      </c>
      <c r="W20" s="496">
        <v>171600</v>
      </c>
      <c r="X20" s="474">
        <v>192800</v>
      </c>
      <c r="Y20" s="474">
        <v>217200</v>
      </c>
      <c r="Z20" s="474">
        <v>244400</v>
      </c>
      <c r="AA20" s="474"/>
      <c r="AB20" s="501"/>
      <c r="AC20" s="501"/>
      <c r="AD20" s="496">
        <v>15</v>
      </c>
    </row>
    <row r="21" spans="2:30">
      <c r="B21" s="496">
        <v>16</v>
      </c>
      <c r="C21" s="501"/>
      <c r="D21" s="501"/>
      <c r="E21" s="501"/>
      <c r="F21" s="501"/>
      <c r="G21" s="501"/>
      <c r="H21" s="501"/>
      <c r="I21" s="501"/>
      <c r="J21" s="501"/>
      <c r="K21" s="501"/>
      <c r="L21" s="501"/>
      <c r="M21" s="501"/>
      <c r="N21" s="501"/>
      <c r="O21" s="501"/>
      <c r="P21" s="474">
        <v>151000</v>
      </c>
      <c r="Q21" s="474">
        <v>151000</v>
      </c>
      <c r="R21" s="499"/>
      <c r="S21" s="474">
        <v>175400</v>
      </c>
      <c r="T21" s="474">
        <v>175400</v>
      </c>
      <c r="U21" s="474">
        <v>181700</v>
      </c>
      <c r="V21" s="496">
        <v>181200</v>
      </c>
      <c r="W21" s="496">
        <v>181700</v>
      </c>
      <c r="X21" s="474">
        <v>204200</v>
      </c>
      <c r="Y21" s="474">
        <v>230100</v>
      </c>
      <c r="Z21" s="474">
        <v>258800</v>
      </c>
      <c r="AA21" s="474"/>
      <c r="AB21" s="501"/>
      <c r="AC21" s="501"/>
      <c r="AD21" s="496">
        <v>16</v>
      </c>
    </row>
    <row r="22" spans="2:30">
      <c r="B22" s="496">
        <v>17</v>
      </c>
      <c r="C22" s="501"/>
      <c r="D22" s="501"/>
      <c r="E22" s="501"/>
      <c r="F22" s="501"/>
      <c r="G22" s="501"/>
      <c r="H22" s="501"/>
      <c r="I22" s="501"/>
      <c r="J22" s="501"/>
      <c r="K22" s="501"/>
      <c r="L22" s="501"/>
      <c r="M22" s="501"/>
      <c r="N22" s="501"/>
      <c r="O22" s="501"/>
      <c r="P22" s="142"/>
      <c r="Q22" s="142"/>
      <c r="R22" s="499"/>
      <c r="S22" s="474">
        <v>185000</v>
      </c>
      <c r="T22" s="474">
        <v>185000</v>
      </c>
      <c r="U22" s="474">
        <v>191700</v>
      </c>
      <c r="V22" s="496">
        <v>191100</v>
      </c>
      <c r="W22" s="496">
        <v>191700</v>
      </c>
      <c r="X22" s="474">
        <v>215400</v>
      </c>
      <c r="Y22" s="474">
        <v>242700</v>
      </c>
      <c r="Z22" s="474">
        <v>273000</v>
      </c>
      <c r="AA22" s="474"/>
      <c r="AB22" s="501"/>
      <c r="AC22" s="501"/>
      <c r="AD22" s="496">
        <v>17</v>
      </c>
    </row>
    <row r="23" spans="2:30">
      <c r="B23" s="496">
        <v>18</v>
      </c>
      <c r="C23" s="501"/>
      <c r="D23" s="501"/>
      <c r="E23" s="501"/>
      <c r="F23" s="501"/>
      <c r="G23" s="501"/>
      <c r="H23" s="501"/>
      <c r="I23" s="501"/>
      <c r="J23" s="501"/>
      <c r="K23" s="501"/>
      <c r="L23" s="501"/>
      <c r="M23" s="501"/>
      <c r="N23" s="501"/>
      <c r="O23" s="501"/>
      <c r="P23" s="142"/>
      <c r="Q23" s="142"/>
      <c r="R23" s="499"/>
      <c r="S23" s="474">
        <v>194500</v>
      </c>
      <c r="T23" s="474">
        <v>194500</v>
      </c>
      <c r="U23" s="474">
        <v>202000</v>
      </c>
      <c r="V23" s="496">
        <v>200900</v>
      </c>
      <c r="W23" s="496">
        <v>201500</v>
      </c>
      <c r="X23" s="474">
        <v>226400</v>
      </c>
      <c r="Y23" s="474">
        <v>255100</v>
      </c>
      <c r="Z23" s="474">
        <v>287000</v>
      </c>
      <c r="AA23" s="474"/>
      <c r="AB23" s="501"/>
      <c r="AC23" s="501"/>
      <c r="AD23" s="496">
        <v>18</v>
      </c>
    </row>
    <row r="24" spans="2:30">
      <c r="B24" s="496">
        <v>19</v>
      </c>
      <c r="C24" s="501"/>
      <c r="D24" s="501"/>
      <c r="E24" s="501"/>
      <c r="F24" s="501"/>
      <c r="G24" s="501"/>
      <c r="H24" s="501"/>
      <c r="I24" s="501"/>
      <c r="J24" s="501"/>
      <c r="K24" s="501"/>
      <c r="L24" s="501"/>
      <c r="M24" s="501"/>
      <c r="N24" s="501"/>
      <c r="O24" s="501"/>
      <c r="P24" s="142"/>
      <c r="Q24" s="142"/>
      <c r="R24" s="499"/>
      <c r="S24" s="474">
        <v>203800</v>
      </c>
      <c r="T24" s="474">
        <v>203800</v>
      </c>
      <c r="U24" s="499"/>
      <c r="V24" s="496">
        <v>210500</v>
      </c>
      <c r="W24" s="496">
        <v>211200</v>
      </c>
      <c r="X24" s="474">
        <v>237300</v>
      </c>
      <c r="Y24" s="474">
        <v>267300</v>
      </c>
      <c r="Z24" s="474">
        <v>300800</v>
      </c>
      <c r="AA24" s="474"/>
      <c r="AB24" s="501"/>
      <c r="AC24" s="501"/>
      <c r="AD24" s="496">
        <v>19</v>
      </c>
    </row>
    <row r="25" spans="2:30">
      <c r="B25" s="496">
        <v>20</v>
      </c>
      <c r="C25" s="501"/>
      <c r="D25" s="501"/>
      <c r="E25" s="501"/>
      <c r="F25" s="501"/>
      <c r="G25" s="501"/>
      <c r="H25" s="501"/>
      <c r="I25" s="501"/>
      <c r="J25" s="501"/>
      <c r="K25" s="501"/>
      <c r="L25" s="501"/>
      <c r="M25" s="501"/>
      <c r="N25" s="501"/>
      <c r="O25" s="501"/>
      <c r="P25" s="142"/>
      <c r="Q25" s="142"/>
      <c r="R25" s="499"/>
      <c r="S25" s="474">
        <v>213000</v>
      </c>
      <c r="T25" s="474">
        <v>213000</v>
      </c>
      <c r="U25" s="495"/>
      <c r="V25" s="496">
        <v>220000</v>
      </c>
      <c r="W25" s="496">
        <v>220700</v>
      </c>
      <c r="X25" s="474">
        <v>248000</v>
      </c>
      <c r="Y25" s="474">
        <v>279400</v>
      </c>
      <c r="Z25" s="474">
        <v>314300</v>
      </c>
      <c r="AA25" s="474"/>
      <c r="AB25" s="501"/>
      <c r="AC25" s="501"/>
      <c r="AD25" s="496">
        <v>20</v>
      </c>
    </row>
    <row r="26" spans="2:30">
      <c r="B26" s="496">
        <v>21</v>
      </c>
      <c r="C26" s="501"/>
      <c r="D26" s="501"/>
      <c r="E26" s="501"/>
      <c r="F26" s="501"/>
      <c r="G26" s="501"/>
      <c r="H26" s="501"/>
      <c r="I26" s="501"/>
      <c r="J26" s="501"/>
      <c r="K26" s="501"/>
      <c r="L26" s="501"/>
      <c r="M26" s="501"/>
      <c r="N26" s="501"/>
      <c r="O26" s="501"/>
      <c r="P26" s="142"/>
      <c r="Q26" s="142"/>
      <c r="R26" s="496"/>
      <c r="S26" s="496"/>
      <c r="T26" s="496">
        <v>222100</v>
      </c>
      <c r="U26" s="496"/>
      <c r="V26" s="496">
        <v>229400</v>
      </c>
      <c r="W26" s="496">
        <v>230100</v>
      </c>
      <c r="X26" s="496">
        <v>258500</v>
      </c>
      <c r="Y26" s="474">
        <v>291300</v>
      </c>
      <c r="Z26" s="474">
        <v>327700</v>
      </c>
      <c r="AA26" s="474"/>
      <c r="AB26" s="501"/>
      <c r="AC26" s="501"/>
      <c r="AD26" s="496">
        <v>21</v>
      </c>
    </row>
    <row r="27" spans="2:30">
      <c r="B27" s="496">
        <v>22</v>
      </c>
      <c r="C27" s="501"/>
      <c r="D27" s="501"/>
      <c r="E27" s="501"/>
      <c r="F27" s="501"/>
      <c r="G27" s="501"/>
      <c r="H27" s="501"/>
      <c r="I27" s="501"/>
      <c r="J27" s="501"/>
      <c r="K27" s="501"/>
      <c r="L27" s="501"/>
      <c r="M27" s="501"/>
      <c r="N27" s="501"/>
      <c r="O27" s="501"/>
      <c r="P27" s="142"/>
      <c r="Q27" s="142"/>
      <c r="R27" s="499"/>
      <c r="S27" s="499"/>
      <c r="T27" s="474">
        <v>231000</v>
      </c>
      <c r="U27" s="496"/>
      <c r="V27" s="496">
        <v>238600</v>
      </c>
      <c r="W27" s="496">
        <v>239300</v>
      </c>
      <c r="X27" s="474">
        <v>268900</v>
      </c>
      <c r="Y27" s="474">
        <v>303000</v>
      </c>
      <c r="Z27" s="474">
        <v>340800</v>
      </c>
      <c r="AA27" s="474"/>
      <c r="AB27" s="501"/>
      <c r="AC27" s="501"/>
      <c r="AD27" s="496">
        <v>22</v>
      </c>
    </row>
    <row r="28" spans="2:30">
      <c r="B28" s="496">
        <v>23</v>
      </c>
      <c r="C28" s="501"/>
      <c r="D28" s="501"/>
      <c r="E28" s="501"/>
      <c r="F28" s="501"/>
      <c r="G28" s="501"/>
      <c r="H28" s="501"/>
      <c r="I28" s="501"/>
      <c r="J28" s="501"/>
      <c r="K28" s="501"/>
      <c r="L28" s="501"/>
      <c r="M28" s="501"/>
      <c r="N28" s="501"/>
      <c r="O28" s="501"/>
      <c r="P28" s="142"/>
      <c r="Q28" s="142"/>
      <c r="R28" s="501"/>
      <c r="S28" s="501"/>
      <c r="T28" s="501"/>
      <c r="U28" s="501"/>
      <c r="V28" s="496">
        <v>247700</v>
      </c>
      <c r="W28" s="496"/>
      <c r="X28" s="496"/>
      <c r="Y28" s="474">
        <v>314500</v>
      </c>
      <c r="Z28" s="474">
        <v>353800</v>
      </c>
      <c r="AA28" s="474"/>
      <c r="AB28" s="501"/>
      <c r="AC28" s="501"/>
      <c r="AD28" s="496">
        <v>23</v>
      </c>
    </row>
    <row r="29" spans="2:30">
      <c r="B29" s="496">
        <v>24</v>
      </c>
      <c r="C29" s="501"/>
      <c r="D29" s="501"/>
      <c r="E29" s="501"/>
      <c r="F29" s="501"/>
      <c r="G29" s="501"/>
      <c r="H29" s="501"/>
      <c r="I29" s="501"/>
      <c r="J29" s="501"/>
      <c r="K29" s="501"/>
      <c r="L29" s="501"/>
      <c r="M29" s="501"/>
      <c r="N29" s="501"/>
      <c r="O29" s="501"/>
      <c r="P29" s="142"/>
      <c r="Q29" s="142"/>
      <c r="R29" s="501"/>
      <c r="S29" s="501"/>
      <c r="T29" s="501"/>
      <c r="U29" s="501"/>
      <c r="V29" s="496">
        <v>256600</v>
      </c>
      <c r="W29" s="496"/>
      <c r="X29" s="496"/>
      <c r="Y29" s="474">
        <v>325800</v>
      </c>
      <c r="Z29" s="474">
        <v>366600</v>
      </c>
      <c r="AA29" s="474"/>
      <c r="AB29" s="501"/>
      <c r="AC29" s="501"/>
      <c r="AD29" s="496">
        <v>24</v>
      </c>
    </row>
    <row r="31" spans="2:30">
      <c r="H31" s="502" t="s">
        <v>44</v>
      </c>
      <c r="I31" s="502"/>
    </row>
    <row r="32" spans="2:30">
      <c r="B32" s="572" t="s">
        <v>809</v>
      </c>
      <c r="H32" s="485" t="s">
        <v>46</v>
      </c>
      <c r="I32" s="485" t="s">
        <v>47</v>
      </c>
    </row>
    <row r="33" spans="2:9">
      <c r="B33" s="572" t="s">
        <v>810</v>
      </c>
      <c r="G33" s="503"/>
      <c r="H33" s="17">
        <v>55</v>
      </c>
      <c r="I33" s="504">
        <f>H33*101.97</f>
        <v>5608.35</v>
      </c>
    </row>
    <row r="34" spans="2:9">
      <c r="B34" s="572" t="s">
        <v>811</v>
      </c>
    </row>
    <row r="35" spans="2:9">
      <c r="B35" s="573" t="s">
        <v>812</v>
      </c>
      <c r="H35" s="485" t="s">
        <v>49</v>
      </c>
      <c r="I35" s="485" t="s">
        <v>46</v>
      </c>
    </row>
    <row r="36" spans="2:9">
      <c r="B36" s="573" t="s">
        <v>813</v>
      </c>
      <c r="H36" s="17"/>
      <c r="I36" s="504" t="str">
        <f>IF(H36="","",H36*0.00980665)</f>
        <v/>
      </c>
    </row>
  </sheetData>
  <sheetProtection sheet="1" objects="1" scenarios="1" selectLockedCells="1"/>
  <mergeCells count="2">
    <mergeCell ref="C4:X4"/>
    <mergeCell ref="H31:I31"/>
  </mergeCells>
  <hyperlinks>
    <hyperlink ref="I2" location="Home!A1" display="Home" xr:uid="{BA479282-6DDA-43B5-A4A5-BA36A139E984}"/>
    <hyperlink ref="B35" r:id="rId1" xr:uid="{54470E21-401D-4899-AFD5-560DD6E665B5}"/>
    <hyperlink ref="B36" r:id="rId2" xr:uid="{859AC82C-EBCC-45FA-9AD1-3DE3ED77796A}"/>
  </hyperlinks>
  <pageMargins left="0.25" right="0.25" top="0.75" bottom="0.75" header="0.3" footer="0.3"/>
  <pageSetup paperSize="9" scale="61" orientation="landscape" horizontalDpi="300" verticalDpi="300"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9C4A7-FC0B-4119-B194-C78B192CABE0}">
  <sheetPr codeName="Sheet26">
    <pageSetUpPr fitToPage="1"/>
  </sheetPr>
  <dimension ref="B2:Z34"/>
  <sheetViews>
    <sheetView showGridLines="0" showRowColHeaders="0" zoomScale="90" zoomScaleNormal="90" workbookViewId="0">
      <selection activeCell="N13" sqref="N13"/>
    </sheetView>
  </sheetViews>
  <sheetFormatPr defaultRowHeight="15"/>
  <cols>
    <col min="1" max="1" width="4.140625" style="68" customWidth="1"/>
    <col min="2" max="2" width="5.42578125" style="68" customWidth="1"/>
    <col min="3" max="13" width="8" style="68" customWidth="1"/>
    <col min="14" max="14" width="5.42578125" style="68" customWidth="1"/>
    <col min="15" max="16384" width="9.140625" style="68"/>
  </cols>
  <sheetData>
    <row r="2" spans="2:26" ht="20.25">
      <c r="B2" s="505" t="s">
        <v>422</v>
      </c>
      <c r="G2" s="506" t="s">
        <v>296</v>
      </c>
      <c r="H2" s="506"/>
      <c r="I2" s="506"/>
      <c r="J2" s="507">
        <v>1.4999999999999999E-2</v>
      </c>
      <c r="N2" s="592" t="s">
        <v>298</v>
      </c>
      <c r="Z2" s="1"/>
    </row>
    <row r="4" spans="2:26" ht="30" customHeight="1">
      <c r="B4" s="122" t="s">
        <v>95</v>
      </c>
      <c r="C4" s="475" t="s">
        <v>97</v>
      </c>
      <c r="D4" s="475" t="s">
        <v>98</v>
      </c>
      <c r="E4" s="475" t="s">
        <v>99</v>
      </c>
      <c r="F4" s="475" t="s">
        <v>100</v>
      </c>
      <c r="G4" s="475" t="s">
        <v>101</v>
      </c>
      <c r="H4" s="475" t="s">
        <v>248</v>
      </c>
      <c r="I4" s="475" t="s">
        <v>102</v>
      </c>
      <c r="J4" s="475" t="s">
        <v>104</v>
      </c>
      <c r="K4" s="475" t="s">
        <v>105</v>
      </c>
      <c r="L4" s="475" t="s">
        <v>249</v>
      </c>
      <c r="M4" s="475" t="s">
        <v>103</v>
      </c>
      <c r="N4" s="122" t="s">
        <v>95</v>
      </c>
    </row>
    <row r="5" spans="2:26">
      <c r="B5" s="474">
        <v>1</v>
      </c>
      <c r="C5" s="474">
        <v>4500</v>
      </c>
      <c r="D5" s="474">
        <v>5300</v>
      </c>
      <c r="E5" s="474">
        <v>5600</v>
      </c>
      <c r="F5" s="474">
        <v>6600</v>
      </c>
      <c r="G5" s="474">
        <v>8660</v>
      </c>
      <c r="H5" s="474">
        <v>8660</v>
      </c>
      <c r="I5" s="474">
        <v>8660</v>
      </c>
      <c r="J5" s="474">
        <v>10000</v>
      </c>
      <c r="K5" s="474">
        <v>12300</v>
      </c>
      <c r="L5" s="474">
        <v>11800</v>
      </c>
      <c r="M5" s="474">
        <v>7200</v>
      </c>
      <c r="N5" s="474">
        <v>1</v>
      </c>
    </row>
    <row r="6" spans="2:26">
      <c r="B6" s="474">
        <v>2</v>
      </c>
      <c r="C6" s="474">
        <v>9000</v>
      </c>
      <c r="D6" s="508">
        <f t="shared" ref="D6:D15" si="0">D$5*(1-(1-$J$2)^$B6)/$J$2</f>
        <v>10520.499999999998</v>
      </c>
      <c r="E6" s="474">
        <v>11200</v>
      </c>
      <c r="F6" s="474">
        <v>13200</v>
      </c>
      <c r="G6" s="508">
        <f t="shared" ref="G6:L19" si="1">G$5*(1-(1-$J$2)^$B6)/$J$2</f>
        <v>17190.099999999999</v>
      </c>
      <c r="H6" s="508">
        <f t="shared" si="1"/>
        <v>17190.099999999999</v>
      </c>
      <c r="I6" s="508">
        <f t="shared" si="1"/>
        <v>17190.099999999999</v>
      </c>
      <c r="J6" s="508">
        <f t="shared" si="1"/>
        <v>19849.999999999996</v>
      </c>
      <c r="K6" s="508">
        <f t="shared" si="1"/>
        <v>24415.499999999996</v>
      </c>
      <c r="L6" s="508">
        <f t="shared" si="1"/>
        <v>23423</v>
      </c>
      <c r="M6" s="474">
        <v>14400</v>
      </c>
      <c r="N6" s="474">
        <v>2</v>
      </c>
    </row>
    <row r="7" spans="2:26">
      <c r="B7" s="474">
        <v>3</v>
      </c>
      <c r="C7" s="474">
        <v>13500</v>
      </c>
      <c r="D7" s="508">
        <f t="shared" si="0"/>
        <v>15662.692499999992</v>
      </c>
      <c r="E7" s="474">
        <v>16800</v>
      </c>
      <c r="F7" s="474">
        <v>19800</v>
      </c>
      <c r="G7" s="508">
        <f t="shared" si="1"/>
        <v>25592.248499999987</v>
      </c>
      <c r="H7" s="508">
        <f t="shared" si="1"/>
        <v>25592.248499999987</v>
      </c>
      <c r="I7" s="508">
        <f t="shared" si="1"/>
        <v>25592.248499999987</v>
      </c>
      <c r="J7" s="508">
        <f t="shared" si="1"/>
        <v>29552.249999999985</v>
      </c>
      <c r="K7" s="508">
        <f t="shared" si="1"/>
        <v>36349.26749999998</v>
      </c>
      <c r="L7" s="508">
        <f t="shared" si="1"/>
        <v>34871.654999999984</v>
      </c>
      <c r="M7" s="474">
        <v>21600</v>
      </c>
      <c r="N7" s="474">
        <v>3</v>
      </c>
    </row>
    <row r="8" spans="2:26">
      <c r="B8" s="509">
        <v>4</v>
      </c>
      <c r="C8" s="509">
        <v>18000</v>
      </c>
      <c r="D8" s="510">
        <f t="shared" si="0"/>
        <v>20727.752112500002</v>
      </c>
      <c r="E8" s="509">
        <v>22400</v>
      </c>
      <c r="F8" s="509">
        <v>26400</v>
      </c>
      <c r="G8" s="510">
        <f t="shared" si="1"/>
        <v>33868.364772500005</v>
      </c>
      <c r="H8" s="510">
        <f t="shared" si="1"/>
        <v>33868.364772500005</v>
      </c>
      <c r="I8" s="510">
        <f t="shared" si="1"/>
        <v>33868.364772500005</v>
      </c>
      <c r="J8" s="510">
        <f t="shared" si="1"/>
        <v>39108.966250000005</v>
      </c>
      <c r="K8" s="510">
        <f t="shared" si="1"/>
        <v>48104.028487500007</v>
      </c>
      <c r="L8" s="510">
        <f t="shared" si="1"/>
        <v>46148.58017500001</v>
      </c>
      <c r="M8" s="509">
        <v>28800</v>
      </c>
      <c r="N8" s="509">
        <v>4</v>
      </c>
    </row>
    <row r="9" spans="2:26">
      <c r="B9" s="474">
        <v>5</v>
      </c>
      <c r="C9" s="474">
        <v>22500</v>
      </c>
      <c r="D9" s="508">
        <f t="shared" si="0"/>
        <v>25716.835830812492</v>
      </c>
      <c r="E9" s="474">
        <v>28000</v>
      </c>
      <c r="F9" s="474">
        <v>33000</v>
      </c>
      <c r="G9" s="508">
        <f t="shared" si="1"/>
        <v>42020.339300912485</v>
      </c>
      <c r="H9" s="508">
        <f t="shared" si="1"/>
        <v>42020.339300912485</v>
      </c>
      <c r="I9" s="508">
        <f t="shared" si="1"/>
        <v>42020.339300912485</v>
      </c>
      <c r="J9" s="508">
        <f t="shared" si="1"/>
        <v>48522.331756249987</v>
      </c>
      <c r="K9" s="508">
        <f t="shared" si="1"/>
        <v>59682.468060187479</v>
      </c>
      <c r="L9" s="508">
        <f t="shared" si="1"/>
        <v>57256.351472374976</v>
      </c>
      <c r="M9" s="474">
        <v>36000</v>
      </c>
      <c r="N9" s="474">
        <v>5</v>
      </c>
    </row>
    <row r="10" spans="2:26">
      <c r="B10" s="511">
        <v>6</v>
      </c>
      <c r="C10" s="511">
        <v>27000</v>
      </c>
      <c r="D10" s="512">
        <f t="shared" si="0"/>
        <v>30631.083293350301</v>
      </c>
      <c r="E10" s="511">
        <v>33600</v>
      </c>
      <c r="F10" s="511">
        <v>39600</v>
      </c>
      <c r="G10" s="512">
        <f t="shared" si="1"/>
        <v>50050.034211398794</v>
      </c>
      <c r="H10" s="512">
        <f t="shared" si="1"/>
        <v>50050.034211398794</v>
      </c>
      <c r="I10" s="512">
        <f t="shared" si="1"/>
        <v>50050.034211398794</v>
      </c>
      <c r="J10" s="512">
        <f t="shared" si="1"/>
        <v>57794.496779906229</v>
      </c>
      <c r="K10" s="512">
        <f t="shared" si="1"/>
        <v>71087.231039284656</v>
      </c>
      <c r="L10" s="512">
        <f t="shared" si="1"/>
        <v>68197.506200289354</v>
      </c>
      <c r="M10" s="511">
        <v>43200</v>
      </c>
      <c r="N10" s="511">
        <v>6</v>
      </c>
    </row>
    <row r="11" spans="2:26">
      <c r="B11" s="474">
        <v>7</v>
      </c>
      <c r="C11" s="474">
        <v>31500</v>
      </c>
      <c r="D11" s="508">
        <f t="shared" si="0"/>
        <v>35471.617043950057</v>
      </c>
      <c r="E11" s="474">
        <v>39200</v>
      </c>
      <c r="F11" s="474">
        <v>46200</v>
      </c>
      <c r="G11" s="508">
        <f t="shared" si="1"/>
        <v>57959.283698227839</v>
      </c>
      <c r="H11" s="508">
        <f t="shared" si="1"/>
        <v>57959.283698227839</v>
      </c>
      <c r="I11" s="508">
        <f t="shared" si="1"/>
        <v>57959.283698227839</v>
      </c>
      <c r="J11" s="508">
        <f t="shared" si="1"/>
        <v>66927.579328207663</v>
      </c>
      <c r="K11" s="508">
        <f t="shared" si="1"/>
        <v>82320.922573695425</v>
      </c>
      <c r="L11" s="508">
        <f t="shared" si="1"/>
        <v>78974.543607285043</v>
      </c>
      <c r="M11" s="474">
        <v>50400</v>
      </c>
      <c r="N11" s="474">
        <v>7</v>
      </c>
    </row>
    <row r="12" spans="2:26">
      <c r="B12" s="513">
        <v>8</v>
      </c>
      <c r="C12" s="513">
        <v>36000</v>
      </c>
      <c r="D12" s="514">
        <f t="shared" si="0"/>
        <v>40239.542788290797</v>
      </c>
      <c r="E12" s="513">
        <v>44800</v>
      </c>
      <c r="F12" s="513">
        <v>52800</v>
      </c>
      <c r="G12" s="514">
        <f t="shared" si="1"/>
        <v>65749.894442754405</v>
      </c>
      <c r="H12" s="514">
        <f t="shared" si="1"/>
        <v>65749.894442754405</v>
      </c>
      <c r="I12" s="514">
        <f t="shared" si="1"/>
        <v>65749.894442754405</v>
      </c>
      <c r="J12" s="514">
        <f t="shared" si="1"/>
        <v>75923.665638284539</v>
      </c>
      <c r="K12" s="514">
        <f t="shared" si="1"/>
        <v>93386.108735089962</v>
      </c>
      <c r="L12" s="514">
        <f t="shared" si="1"/>
        <v>89589.925453175747</v>
      </c>
      <c r="M12" s="513">
        <v>57600</v>
      </c>
      <c r="N12" s="513">
        <v>8</v>
      </c>
    </row>
    <row r="13" spans="2:26">
      <c r="B13" s="474">
        <v>9</v>
      </c>
      <c r="C13" s="474">
        <v>40500</v>
      </c>
      <c r="D13" s="508">
        <f t="shared" si="0"/>
        <v>44935.949646466448</v>
      </c>
      <c r="E13" s="474">
        <v>50400</v>
      </c>
      <c r="F13" s="474">
        <v>59400</v>
      </c>
      <c r="G13" s="508">
        <f t="shared" si="1"/>
        <v>73423.6460261131</v>
      </c>
      <c r="H13" s="508">
        <f t="shared" si="1"/>
        <v>73423.6460261131</v>
      </c>
      <c r="I13" s="508">
        <f t="shared" si="1"/>
        <v>73423.6460261131</v>
      </c>
      <c r="J13" s="508">
        <f t="shared" si="1"/>
        <v>84784.810653710287</v>
      </c>
      <c r="K13" s="508">
        <f t="shared" si="1"/>
        <v>104285.31710406365</v>
      </c>
      <c r="L13" s="508">
        <f t="shared" si="1"/>
        <v>100046.07657137813</v>
      </c>
      <c r="M13" s="474">
        <v>64800</v>
      </c>
      <c r="N13" s="474">
        <v>9</v>
      </c>
    </row>
    <row r="14" spans="2:26">
      <c r="B14" s="474">
        <v>10</v>
      </c>
      <c r="C14" s="474">
        <v>45000</v>
      </c>
      <c r="D14" s="508">
        <f t="shared" si="0"/>
        <v>49561.910401769448</v>
      </c>
      <c r="E14" s="474">
        <v>56000</v>
      </c>
      <c r="F14" s="474">
        <v>66000</v>
      </c>
      <c r="G14" s="508">
        <f t="shared" si="1"/>
        <v>80982.291335721398</v>
      </c>
      <c r="H14" s="508">
        <f t="shared" si="1"/>
        <v>80982.291335721398</v>
      </c>
      <c r="I14" s="508">
        <f t="shared" si="1"/>
        <v>80982.291335721398</v>
      </c>
      <c r="J14" s="508">
        <f t="shared" si="1"/>
        <v>93513.03849390462</v>
      </c>
      <c r="K14" s="508">
        <f t="shared" si="1"/>
        <v>115021.03734750267</v>
      </c>
      <c r="L14" s="508">
        <f t="shared" si="1"/>
        <v>110345.38542280745</v>
      </c>
      <c r="M14" s="474">
        <v>72000</v>
      </c>
      <c r="N14" s="474">
        <v>10</v>
      </c>
    </row>
    <row r="15" spans="2:26">
      <c r="B15" s="474">
        <v>11</v>
      </c>
      <c r="C15" s="474">
        <v>49500</v>
      </c>
      <c r="D15" s="508">
        <f t="shared" si="0"/>
        <v>54118.481745742887</v>
      </c>
      <c r="E15" s="474">
        <v>61600</v>
      </c>
      <c r="F15" s="474">
        <v>72600</v>
      </c>
      <c r="G15" s="508">
        <f t="shared" si="1"/>
        <v>88427.556965685551</v>
      </c>
      <c r="H15" s="508">
        <f t="shared" si="1"/>
        <v>88427.556965685551</v>
      </c>
      <c r="I15" s="508">
        <f t="shared" si="1"/>
        <v>88427.556965685551</v>
      </c>
      <c r="J15" s="508">
        <f t="shared" si="1"/>
        <v>102110.34291649601</v>
      </c>
      <c r="K15" s="508">
        <f t="shared" si="1"/>
        <v>125595.72178729011</v>
      </c>
      <c r="L15" s="508">
        <f t="shared" si="1"/>
        <v>120490.20464146529</v>
      </c>
      <c r="M15" s="474">
        <v>79200</v>
      </c>
      <c r="N15" s="474">
        <v>11</v>
      </c>
    </row>
    <row r="16" spans="2:26">
      <c r="B16" s="474">
        <v>12</v>
      </c>
      <c r="C16" s="474"/>
      <c r="D16" s="474"/>
      <c r="E16" s="474">
        <v>67200</v>
      </c>
      <c r="F16" s="474">
        <v>79200</v>
      </c>
      <c r="G16" s="508">
        <f t="shared" si="1"/>
        <v>95761.143611200299</v>
      </c>
      <c r="H16" s="508">
        <f t="shared" si="1"/>
        <v>95761.143611200299</v>
      </c>
      <c r="I16" s="508">
        <f t="shared" si="1"/>
        <v>95761.143611200299</v>
      </c>
      <c r="J16" s="508">
        <f t="shared" si="1"/>
        <v>110578.6877727486</v>
      </c>
      <c r="K16" s="508">
        <f t="shared" si="1"/>
        <v>136011.78596048077</v>
      </c>
      <c r="L16" s="508">
        <f t="shared" si="1"/>
        <v>130482.85157184333</v>
      </c>
      <c r="M16" s="474">
        <v>86400</v>
      </c>
      <c r="N16" s="474">
        <v>12</v>
      </c>
    </row>
    <row r="17" spans="2:14">
      <c r="B17" s="474">
        <v>13</v>
      </c>
      <c r="C17" s="474"/>
      <c r="D17" s="474"/>
      <c r="E17" s="474">
        <v>72800</v>
      </c>
      <c r="F17" s="474">
        <v>85800</v>
      </c>
      <c r="G17" s="508">
        <f t="shared" si="1"/>
        <v>102984.72645703229</v>
      </c>
      <c r="H17" s="508">
        <f t="shared" si="1"/>
        <v>102984.72645703229</v>
      </c>
      <c r="I17" s="508">
        <f t="shared" si="1"/>
        <v>102984.72645703229</v>
      </c>
      <c r="J17" s="508">
        <f t="shared" si="1"/>
        <v>118920.00745615739</v>
      </c>
      <c r="K17" s="508">
        <f t="shared" si="1"/>
        <v>146271.60917107359</v>
      </c>
      <c r="L17" s="508">
        <f t="shared" si="1"/>
        <v>140325.60879826572</v>
      </c>
      <c r="M17" s="474">
        <v>93600</v>
      </c>
      <c r="N17" s="474">
        <v>13</v>
      </c>
    </row>
    <row r="18" spans="2:14">
      <c r="B18" s="474">
        <v>14</v>
      </c>
      <c r="C18" s="474"/>
      <c r="D18" s="474"/>
      <c r="E18" s="474">
        <v>78400</v>
      </c>
      <c r="F18" s="474">
        <v>92400</v>
      </c>
      <c r="G18" s="508">
        <f t="shared" si="1"/>
        <v>110099.95556017676</v>
      </c>
      <c r="H18" s="508">
        <f t="shared" si="1"/>
        <v>110099.95556017676</v>
      </c>
      <c r="I18" s="508">
        <f t="shared" si="1"/>
        <v>110099.95556017676</v>
      </c>
      <c r="J18" s="508">
        <f t="shared" si="1"/>
        <v>127136.20734431497</v>
      </c>
      <c r="K18" s="508">
        <f t="shared" si="1"/>
        <v>156377.53503350742</v>
      </c>
      <c r="L18" s="508">
        <f t="shared" si="1"/>
        <v>150020.72466629167</v>
      </c>
      <c r="M18" s="474">
        <v>100800</v>
      </c>
      <c r="N18" s="474">
        <v>14</v>
      </c>
    </row>
    <row r="19" spans="2:14">
      <c r="B19" s="474">
        <v>15</v>
      </c>
      <c r="C19" s="474"/>
      <c r="D19" s="474"/>
      <c r="E19" s="474">
        <v>84000</v>
      </c>
      <c r="F19" s="474"/>
      <c r="G19" s="508">
        <f t="shared" si="1"/>
        <v>117108.45622677419</v>
      </c>
      <c r="H19" s="508">
        <f t="shared" si="1"/>
        <v>117108.45622677419</v>
      </c>
      <c r="I19" s="508">
        <f t="shared" si="1"/>
        <v>117108.45622677419</v>
      </c>
      <c r="J19" s="508">
        <f t="shared" si="1"/>
        <v>135229.16423415035</v>
      </c>
      <c r="K19" s="508">
        <f t="shared" si="1"/>
        <v>166331.87200800492</v>
      </c>
      <c r="L19" s="508">
        <f t="shared" si="1"/>
        <v>159570.41379629739</v>
      </c>
      <c r="M19" s="474">
        <v>108000</v>
      </c>
      <c r="N19" s="474">
        <v>15</v>
      </c>
    </row>
    <row r="20" spans="2:14">
      <c r="B20" s="474">
        <v>16</v>
      </c>
      <c r="C20" s="474"/>
      <c r="D20" s="474"/>
      <c r="E20" s="474">
        <v>89600</v>
      </c>
      <c r="F20" s="474"/>
      <c r="G20" s="474"/>
      <c r="H20" s="474"/>
      <c r="I20" s="474"/>
      <c r="J20" s="508">
        <f t="shared" ref="J20:L22" si="2">J$5*(1-(1-$J$2)^$B20)/$J$2</f>
        <v>143200.72677063802</v>
      </c>
      <c r="K20" s="508">
        <f t="shared" si="2"/>
        <v>176136.89392788478</v>
      </c>
      <c r="L20" s="508">
        <f t="shared" si="2"/>
        <v>168976.85758935291</v>
      </c>
      <c r="M20" s="474">
        <v>115200</v>
      </c>
      <c r="N20" s="474">
        <v>16</v>
      </c>
    </row>
    <row r="21" spans="2:14">
      <c r="B21" s="474">
        <v>17</v>
      </c>
      <c r="C21" s="474"/>
      <c r="D21" s="474"/>
      <c r="E21" s="474"/>
      <c r="F21" s="474"/>
      <c r="G21" s="474"/>
      <c r="H21" s="474"/>
      <c r="I21" s="474"/>
      <c r="J21" s="508">
        <f t="shared" si="2"/>
        <v>151052.7158690785</v>
      </c>
      <c r="K21" s="508">
        <f t="shared" si="2"/>
        <v>185794.84051896655</v>
      </c>
      <c r="L21" s="508">
        <f t="shared" si="2"/>
        <v>178242.20472551265</v>
      </c>
      <c r="M21" s="474"/>
      <c r="N21" s="474">
        <v>17</v>
      </c>
    </row>
    <row r="22" spans="2:14">
      <c r="B22" s="474">
        <v>18</v>
      </c>
      <c r="C22" s="474"/>
      <c r="D22" s="474"/>
      <c r="E22" s="474"/>
      <c r="F22" s="474"/>
      <c r="G22" s="474"/>
      <c r="H22" s="474"/>
      <c r="I22" s="474"/>
      <c r="J22" s="508">
        <f t="shared" si="2"/>
        <v>158786.92513104231</v>
      </c>
      <c r="K22" s="508">
        <f t="shared" si="2"/>
        <v>195307.91791118207</v>
      </c>
      <c r="L22" s="508">
        <f t="shared" si="2"/>
        <v>187368.57165462992</v>
      </c>
      <c r="M22" s="474"/>
      <c r="N22" s="474">
        <v>18</v>
      </c>
    </row>
    <row r="23" spans="2:14">
      <c r="B23" s="474">
        <v>19</v>
      </c>
      <c r="C23" s="474"/>
      <c r="D23" s="474"/>
      <c r="E23" s="474"/>
      <c r="F23" s="474"/>
      <c r="G23" s="474"/>
      <c r="H23" s="474"/>
      <c r="I23" s="474"/>
      <c r="J23" s="508">
        <f>J$5*(1-(1-$J$2)^$B23)/$J$2</f>
        <v>166405.12125407663</v>
      </c>
      <c r="K23" s="508">
        <f>K$5*(1-(1-$J$2)^$B23)/$J$2</f>
        <v>204678.29914251424</v>
      </c>
      <c r="L23" s="474"/>
      <c r="M23" s="474"/>
      <c r="N23" s="474">
        <v>19</v>
      </c>
    </row>
    <row r="24" spans="2:14">
      <c r="B24" s="474">
        <v>20</v>
      </c>
      <c r="C24" s="474"/>
      <c r="D24" s="474"/>
      <c r="E24" s="474"/>
      <c r="F24" s="474"/>
      <c r="G24" s="474"/>
      <c r="H24" s="474"/>
      <c r="I24" s="474"/>
      <c r="J24" s="508">
        <f>J$5*(1-(1-$J$2)^$B24)/$J$2</f>
        <v>173909.0444352655</v>
      </c>
      <c r="K24" s="508">
        <f>K$5*(1-(1-$J$2)^$B24)/$J$2</f>
        <v>213908.12465537657</v>
      </c>
      <c r="L24" s="474"/>
      <c r="M24" s="474"/>
      <c r="N24" s="474">
        <v>20</v>
      </c>
    </row>
    <row r="25" spans="2:14">
      <c r="B25" s="474">
        <v>21</v>
      </c>
      <c r="C25" s="474"/>
      <c r="D25" s="474"/>
      <c r="E25" s="474"/>
      <c r="F25" s="474"/>
      <c r="G25" s="474"/>
      <c r="H25" s="474"/>
      <c r="I25" s="474"/>
      <c r="J25" s="474"/>
      <c r="K25" s="474"/>
      <c r="L25" s="474"/>
      <c r="M25" s="474"/>
      <c r="N25" s="474">
        <v>21</v>
      </c>
    </row>
    <row r="26" spans="2:14">
      <c r="B26" s="474">
        <v>22</v>
      </c>
      <c r="C26" s="474"/>
      <c r="D26" s="474"/>
      <c r="E26" s="474"/>
      <c r="F26" s="474"/>
      <c r="G26" s="474"/>
      <c r="H26" s="474"/>
      <c r="I26" s="474"/>
      <c r="J26" s="474"/>
      <c r="K26" s="474"/>
      <c r="L26" s="474"/>
      <c r="M26" s="474"/>
      <c r="N26" s="474">
        <v>22</v>
      </c>
    </row>
    <row r="27" spans="2:14">
      <c r="B27" s="474">
        <v>23</v>
      </c>
      <c r="C27" s="474"/>
      <c r="D27" s="474"/>
      <c r="E27" s="474"/>
      <c r="F27" s="474"/>
      <c r="G27" s="474"/>
      <c r="H27" s="474"/>
      <c r="I27" s="474"/>
      <c r="J27" s="474"/>
      <c r="K27" s="474"/>
      <c r="L27" s="474"/>
      <c r="M27" s="474"/>
      <c r="N27" s="474">
        <v>23</v>
      </c>
    </row>
    <row r="28" spans="2:14">
      <c r="B28" s="474">
        <v>24</v>
      </c>
      <c r="C28" s="474"/>
      <c r="D28" s="474"/>
      <c r="E28" s="474"/>
      <c r="F28" s="474"/>
      <c r="G28" s="474"/>
      <c r="H28" s="474"/>
      <c r="I28" s="474"/>
      <c r="J28" s="474"/>
      <c r="K28" s="474"/>
      <c r="L28" s="474"/>
      <c r="M28" s="474"/>
      <c r="N28" s="474">
        <v>24</v>
      </c>
    </row>
    <row r="30" spans="2:14">
      <c r="B30" s="572" t="s">
        <v>809</v>
      </c>
      <c r="G30" s="583" t="s">
        <v>814</v>
      </c>
      <c r="H30" s="584"/>
      <c r="I30" s="584"/>
      <c r="J30" s="584"/>
      <c r="K30" s="584"/>
      <c r="L30" s="584"/>
      <c r="M30" s="584"/>
      <c r="N30" s="585"/>
    </row>
    <row r="31" spans="2:14">
      <c r="B31" s="572" t="s">
        <v>810</v>
      </c>
      <c r="G31" s="586"/>
      <c r="H31" s="587"/>
      <c r="I31" s="587"/>
      <c r="J31" s="587"/>
      <c r="K31" s="587"/>
      <c r="L31" s="587"/>
      <c r="M31" s="587"/>
      <c r="N31" s="588"/>
    </row>
    <row r="32" spans="2:14">
      <c r="B32" s="572" t="s">
        <v>811</v>
      </c>
      <c r="G32" s="586"/>
      <c r="H32" s="587"/>
      <c r="I32" s="587"/>
      <c r="J32" s="587"/>
      <c r="K32" s="587"/>
      <c r="L32" s="587"/>
      <c r="M32" s="587"/>
      <c r="N32" s="588"/>
    </row>
    <row r="33" spans="2:14">
      <c r="B33" s="573" t="s">
        <v>812</v>
      </c>
      <c r="G33" s="589"/>
      <c r="H33" s="590"/>
      <c r="I33" s="590"/>
      <c r="J33" s="590"/>
      <c r="K33" s="590"/>
      <c r="L33" s="590"/>
      <c r="M33" s="590"/>
      <c r="N33" s="591"/>
    </row>
    <row r="34" spans="2:14">
      <c r="B34" s="573" t="s">
        <v>813</v>
      </c>
    </row>
  </sheetData>
  <sheetProtection sheet="1" objects="1" scenarios="1" selectLockedCells="1"/>
  <mergeCells count="2">
    <mergeCell ref="G2:I2"/>
    <mergeCell ref="G30:N33"/>
  </mergeCells>
  <hyperlinks>
    <hyperlink ref="N2" location="Home!A1" display="Home" xr:uid="{06A65D4F-CC00-43B6-9224-A084E78EF259}"/>
    <hyperlink ref="B33" r:id="rId1" xr:uid="{C44EB4CC-4517-4A0F-A5EF-DB9E4F29CDBA}"/>
    <hyperlink ref="B34" r:id="rId2" xr:uid="{8F3AFD52-068B-4E06-BBB9-0438DA8AC346}"/>
  </hyperlinks>
  <pageMargins left="0.25" right="0.25" top="0.75" bottom="0.75" header="0.3" footer="0.3"/>
  <pageSetup paperSize="9" orientation="landscape" horizontalDpi="300" verticalDpi="3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8BEF8-D64C-4D9C-8BED-E9A8651193AE}">
  <sheetPr codeName="Sheet5">
    <pageSetUpPr fitToPage="1"/>
  </sheetPr>
  <dimension ref="B1:AB46"/>
  <sheetViews>
    <sheetView showGridLines="0" showRowColHeaders="0" zoomScale="90" zoomScaleNormal="90" workbookViewId="0">
      <selection activeCell="N2" sqref="N2"/>
    </sheetView>
  </sheetViews>
  <sheetFormatPr defaultRowHeight="14.25"/>
  <cols>
    <col min="1" max="1" width="5.7109375" style="67" customWidth="1"/>
    <col min="2" max="2" width="18.85546875" style="67" customWidth="1"/>
    <col min="3" max="3" width="9.140625" style="67"/>
    <col min="4" max="4" width="4.140625" style="145" bestFit="1" customWidth="1"/>
    <col min="5" max="5" width="11" style="69" hidden="1" customWidth="1"/>
    <col min="6" max="7" width="9.140625" style="69" hidden="1" customWidth="1"/>
    <col min="8" max="8" width="6.140625" style="69" hidden="1" customWidth="1"/>
    <col min="9" max="12" width="9.140625" style="69" hidden="1" customWidth="1"/>
    <col min="13" max="13" width="5" style="67" customWidth="1"/>
    <col min="14" max="14" width="12.7109375" style="67" customWidth="1"/>
    <col min="15" max="15" width="9.7109375" style="67" customWidth="1"/>
    <col min="16" max="16" width="5.28515625" style="67" customWidth="1"/>
    <col min="17" max="17" width="12.7109375" style="67" customWidth="1"/>
    <col min="18" max="18" width="9.7109375" style="67" customWidth="1"/>
    <col min="19" max="19" width="5.28515625" style="67" customWidth="1"/>
    <col min="20" max="21" width="15.7109375" style="67" customWidth="1"/>
    <col min="22" max="22" width="5.28515625" style="67" customWidth="1"/>
    <col min="23" max="24" width="15.7109375" style="67" customWidth="1"/>
    <col min="25" max="25" width="5.7109375" style="67" customWidth="1"/>
    <col min="26" max="27" width="15.7109375" style="67" customWidth="1"/>
    <col min="28" max="16384" width="9.140625" style="67"/>
  </cols>
  <sheetData>
    <row r="1" spans="2:27" s="75" customFormat="1" ht="18" customHeight="1">
      <c r="D1" s="110"/>
      <c r="E1" s="69"/>
      <c r="F1" s="69"/>
      <c r="G1" s="69"/>
      <c r="H1" s="69"/>
      <c r="I1" s="69"/>
      <c r="J1" s="69"/>
      <c r="K1" s="69"/>
      <c r="L1" s="69"/>
    </row>
    <row r="2" spans="2:27" s="75" customFormat="1" ht="18" customHeight="1">
      <c r="B2" s="66" t="s">
        <v>297</v>
      </c>
      <c r="D2" s="110"/>
      <c r="E2" s="69"/>
      <c r="F2" s="69"/>
      <c r="G2" s="69"/>
      <c r="H2" s="69"/>
      <c r="I2" s="69"/>
      <c r="J2" s="69"/>
      <c r="K2" s="69"/>
      <c r="L2" s="69"/>
      <c r="N2" s="592" t="s">
        <v>298</v>
      </c>
      <c r="AA2" s="1"/>
    </row>
    <row r="3" spans="2:27" s="75" customFormat="1" ht="18" customHeight="1">
      <c r="D3" s="110"/>
      <c r="E3" s="69"/>
      <c r="F3" s="69"/>
      <c r="G3" s="69"/>
      <c r="H3" s="69"/>
      <c r="I3" s="69"/>
      <c r="J3" s="69"/>
      <c r="K3" s="69"/>
      <c r="L3" s="69"/>
    </row>
    <row r="4" spans="2:27" s="75" customFormat="1" ht="18" customHeight="1">
      <c r="B4" s="111" t="s">
        <v>0</v>
      </c>
      <c r="C4" s="111"/>
      <c r="D4" s="112"/>
      <c r="E4" s="69"/>
      <c r="F4" s="69"/>
      <c r="G4" s="69"/>
      <c r="H4" s="69"/>
      <c r="I4" s="69"/>
      <c r="J4" s="69"/>
      <c r="K4" s="69"/>
      <c r="L4" s="69"/>
      <c r="N4" s="113" t="s">
        <v>299</v>
      </c>
      <c r="O4" s="114"/>
      <c r="P4" s="114"/>
      <c r="Q4" s="114"/>
      <c r="R4" s="115"/>
      <c r="S4" s="68"/>
      <c r="T4" s="116" t="s">
        <v>305</v>
      </c>
      <c r="U4" s="116"/>
      <c r="V4" s="68"/>
      <c r="W4" s="116" t="s">
        <v>306</v>
      </c>
      <c r="X4" s="116"/>
      <c r="Y4" s="74"/>
      <c r="Z4" s="117" t="s">
        <v>300</v>
      </c>
      <c r="AA4" s="118"/>
    </row>
    <row r="5" spans="2:27" s="75" customFormat="1" ht="18" customHeight="1">
      <c r="B5" s="78" t="s">
        <v>301</v>
      </c>
      <c r="C5" s="2"/>
      <c r="D5" s="110" t="s">
        <v>1</v>
      </c>
      <c r="E5" s="69"/>
      <c r="F5" s="69"/>
      <c r="G5" s="69"/>
      <c r="H5" s="69"/>
      <c r="I5" s="69"/>
      <c r="J5" s="69"/>
      <c r="K5" s="69"/>
      <c r="L5" s="69"/>
      <c r="N5" s="119"/>
      <c r="O5" s="120"/>
      <c r="P5" s="120"/>
      <c r="Q5" s="120"/>
      <c r="R5" s="121"/>
      <c r="S5" s="68"/>
      <c r="T5" s="122" t="s">
        <v>52</v>
      </c>
      <c r="U5" s="122" t="s">
        <v>2</v>
      </c>
      <c r="V5" s="68"/>
      <c r="W5" s="122" t="s">
        <v>52</v>
      </c>
      <c r="X5" s="122" t="s">
        <v>2</v>
      </c>
      <c r="Z5" s="123" t="s">
        <v>302</v>
      </c>
      <c r="AA5" s="123">
        <v>9</v>
      </c>
    </row>
    <row r="6" spans="2:27" s="75" customFormat="1" ht="18" customHeight="1">
      <c r="B6" s="78" t="s">
        <v>13</v>
      </c>
      <c r="C6" s="3"/>
      <c r="D6" s="110"/>
      <c r="E6" s="69" t="s">
        <v>9</v>
      </c>
      <c r="F6" s="69" t="s">
        <v>10</v>
      </c>
      <c r="G6" s="69" t="s">
        <v>11</v>
      </c>
      <c r="H6" s="69" t="s">
        <v>12</v>
      </c>
      <c r="I6" s="124" t="s">
        <v>303</v>
      </c>
      <c r="J6" s="124"/>
      <c r="K6" s="124" t="s">
        <v>304</v>
      </c>
      <c r="L6" s="124"/>
      <c r="N6" s="119"/>
      <c r="O6" s="120"/>
      <c r="P6" s="120"/>
      <c r="Q6" s="120"/>
      <c r="R6" s="121"/>
      <c r="S6" s="68"/>
      <c r="T6" s="125" t="s">
        <v>55</v>
      </c>
      <c r="U6" s="126">
        <v>1.7</v>
      </c>
      <c r="V6" s="68"/>
      <c r="W6" s="125" t="s">
        <v>7</v>
      </c>
      <c r="X6" s="125">
        <v>20</v>
      </c>
      <c r="Z6" s="123" t="s">
        <v>307</v>
      </c>
      <c r="AA6" s="123">
        <v>13</v>
      </c>
    </row>
    <row r="7" spans="2:27" s="75" customFormat="1" ht="18" customHeight="1">
      <c r="B7" s="78" t="s">
        <v>308</v>
      </c>
      <c r="C7" s="3"/>
      <c r="D7" s="110"/>
      <c r="E7" s="69">
        <v>6</v>
      </c>
      <c r="F7" s="69">
        <v>0.4</v>
      </c>
      <c r="G7" s="69">
        <v>6</v>
      </c>
      <c r="H7" s="69">
        <v>0.8</v>
      </c>
      <c r="I7" s="69">
        <v>8</v>
      </c>
      <c r="J7" s="69">
        <v>0.4</v>
      </c>
      <c r="K7" s="69">
        <v>10</v>
      </c>
      <c r="L7" s="69">
        <v>2.2000000000000002</v>
      </c>
      <c r="N7" s="127"/>
      <c r="O7" s="68"/>
      <c r="P7" s="68"/>
      <c r="Q7" s="68"/>
      <c r="R7" s="128"/>
      <c r="S7" s="68"/>
      <c r="T7" s="125" t="s">
        <v>56</v>
      </c>
      <c r="U7" s="126">
        <v>2.5</v>
      </c>
      <c r="V7" s="68"/>
      <c r="W7" s="125" t="s">
        <v>8</v>
      </c>
      <c r="X7" s="125">
        <v>30</v>
      </c>
      <c r="Z7" s="123" t="s">
        <v>309</v>
      </c>
      <c r="AA7" s="123">
        <v>20</v>
      </c>
    </row>
    <row r="8" spans="2:27" s="75" customFormat="1" ht="18" customHeight="1">
      <c r="B8" s="78" t="s">
        <v>14</v>
      </c>
      <c r="C8" s="3"/>
      <c r="D8" s="110"/>
      <c r="E8" s="69">
        <v>7</v>
      </c>
      <c r="F8" s="69">
        <v>0.7</v>
      </c>
      <c r="G8" s="69">
        <v>7</v>
      </c>
      <c r="H8" s="69">
        <v>1.1000000000000001</v>
      </c>
      <c r="I8" s="69">
        <v>9</v>
      </c>
      <c r="J8" s="69">
        <v>0.5</v>
      </c>
      <c r="K8" s="69">
        <v>15</v>
      </c>
      <c r="L8" s="69">
        <v>3.2</v>
      </c>
      <c r="N8" s="129" t="s">
        <v>15</v>
      </c>
      <c r="O8" s="130"/>
      <c r="Q8" s="130" t="s">
        <v>16</v>
      </c>
      <c r="R8" s="131"/>
      <c r="S8" s="68"/>
      <c r="T8" s="125" t="s">
        <v>57</v>
      </c>
      <c r="U8" s="126">
        <v>3.6</v>
      </c>
      <c r="V8" s="68"/>
      <c r="W8" s="125" t="s">
        <v>58</v>
      </c>
      <c r="X8" s="125">
        <v>49</v>
      </c>
      <c r="Z8" s="77" t="s">
        <v>310</v>
      </c>
      <c r="AA8" s="77">
        <v>13</v>
      </c>
    </row>
    <row r="9" spans="2:27" s="75" customFormat="1" ht="18" customHeight="1">
      <c r="B9" s="78" t="s">
        <v>311</v>
      </c>
      <c r="C9" s="3"/>
      <c r="D9" s="110"/>
      <c r="E9" s="69">
        <v>8</v>
      </c>
      <c r="F9" s="69">
        <v>0.7</v>
      </c>
      <c r="G9" s="69">
        <v>8</v>
      </c>
      <c r="H9" s="69">
        <v>1.4</v>
      </c>
      <c r="I9" s="69">
        <v>10</v>
      </c>
      <c r="J9" s="69">
        <v>0.62</v>
      </c>
      <c r="K9" s="69">
        <v>20</v>
      </c>
      <c r="L9" s="69">
        <v>4.4000000000000004</v>
      </c>
      <c r="N9" s="132" t="s">
        <v>17</v>
      </c>
      <c r="O9" s="123">
        <v>22</v>
      </c>
      <c r="Q9" s="133" t="s">
        <v>18</v>
      </c>
      <c r="R9" s="123">
        <v>76</v>
      </c>
      <c r="S9" s="68"/>
      <c r="T9" s="125" t="s">
        <v>3</v>
      </c>
      <c r="U9" s="126">
        <v>4.9000000000000004</v>
      </c>
      <c r="V9" s="68"/>
      <c r="W9" s="125" t="s">
        <v>59</v>
      </c>
      <c r="X9" s="125">
        <v>88</v>
      </c>
      <c r="Z9" s="77" t="s">
        <v>312</v>
      </c>
      <c r="AA9" s="77">
        <v>19</v>
      </c>
    </row>
    <row r="10" spans="2:27" s="75" customFormat="1" ht="18" customHeight="1">
      <c r="B10" s="78" t="s">
        <v>19</v>
      </c>
      <c r="C10" s="3"/>
      <c r="D10" s="110"/>
      <c r="E10" s="69">
        <v>10</v>
      </c>
      <c r="F10" s="69">
        <v>1.7</v>
      </c>
      <c r="G10" s="69">
        <v>10</v>
      </c>
      <c r="H10" s="69">
        <v>2.2000000000000002</v>
      </c>
      <c r="I10" s="69">
        <v>11</v>
      </c>
      <c r="J10" s="69">
        <v>0.75</v>
      </c>
      <c r="K10" s="69">
        <v>25</v>
      </c>
      <c r="L10" s="69">
        <v>5.6</v>
      </c>
      <c r="N10" s="132" t="s">
        <v>20</v>
      </c>
      <c r="O10" s="123">
        <v>28</v>
      </c>
      <c r="Q10" s="133" t="s">
        <v>21</v>
      </c>
      <c r="R10" s="123">
        <v>94</v>
      </c>
      <c r="S10" s="68"/>
      <c r="T10" s="125" t="s">
        <v>60</v>
      </c>
      <c r="U10" s="126">
        <v>6.5</v>
      </c>
      <c r="V10" s="68"/>
      <c r="W10" s="125" t="s">
        <v>61</v>
      </c>
      <c r="X10" s="125">
        <v>125</v>
      </c>
      <c r="Z10" s="77" t="s">
        <v>313</v>
      </c>
      <c r="AA10" s="77">
        <v>29</v>
      </c>
    </row>
    <row r="11" spans="2:27" s="75" customFormat="1" ht="18" customHeight="1">
      <c r="B11" s="90" t="s">
        <v>314</v>
      </c>
      <c r="C11" s="134" t="str">
        <f>IF(OR(C5="",NOT(ISNUMBER(C9)),C9&lt;=0,COUNT(C6:C10)&lt;&gt;COUNTA(C6:C10),MIN(C6:C10)&lt;0),"CHECK INPUTS",IFERROR(C6*VLOOKUP($C$5,$E$7:$F$16,2,FALSE)+C7*VLOOKUP($C$5,$E$19:$F$28,2,FALSE)+C8*VLOOKUP($C$5,$E$31:$F$40,2,FALSE)+C9*VLOOKUP($C$5,$G$7:$H$16,2,FALSE)+C10*VLOOKUP($C$5,$G$19:$H$28,2,FALSE),"CHECK INPUTS"))</f>
        <v>CHECK INPUTS</v>
      </c>
      <c r="D11" s="110" t="s">
        <v>49</v>
      </c>
      <c r="E11" s="69">
        <v>13</v>
      </c>
      <c r="F11" s="69">
        <v>3.8</v>
      </c>
      <c r="G11" s="69">
        <v>13</v>
      </c>
      <c r="H11" s="69">
        <v>3.9</v>
      </c>
      <c r="I11" s="69">
        <v>12</v>
      </c>
      <c r="J11" s="69">
        <v>0.89</v>
      </c>
      <c r="K11" s="69">
        <v>30</v>
      </c>
      <c r="L11" s="69">
        <v>7.4</v>
      </c>
      <c r="N11" s="78" t="s">
        <v>22</v>
      </c>
      <c r="O11" s="77">
        <v>36</v>
      </c>
      <c r="Q11" s="133" t="s">
        <v>23</v>
      </c>
      <c r="R11" s="123">
        <v>112</v>
      </c>
      <c r="S11" s="68"/>
      <c r="T11" s="125" t="s">
        <v>62</v>
      </c>
      <c r="U11" s="126">
        <v>8.1</v>
      </c>
      <c r="V11" s="68"/>
      <c r="W11" s="125" t="s">
        <v>63</v>
      </c>
      <c r="X11" s="125">
        <v>190</v>
      </c>
      <c r="Z11" s="123" t="s">
        <v>315</v>
      </c>
      <c r="AA11" s="123">
        <v>18</v>
      </c>
    </row>
    <row r="12" spans="2:27" s="75" customFormat="1" ht="18" customHeight="1">
      <c r="B12" s="112"/>
      <c r="C12" s="69"/>
      <c r="D12" s="110"/>
      <c r="E12" s="69">
        <v>16</v>
      </c>
      <c r="F12" s="69">
        <v>5.4</v>
      </c>
      <c r="G12" s="69">
        <v>16</v>
      </c>
      <c r="H12" s="69">
        <v>5.6</v>
      </c>
      <c r="I12" s="69">
        <v>13</v>
      </c>
      <c r="J12" s="69">
        <v>1.04</v>
      </c>
      <c r="K12" s="69">
        <v>35</v>
      </c>
      <c r="L12" s="69">
        <v>8.6999999999999993</v>
      </c>
      <c r="N12" s="78" t="s">
        <v>24</v>
      </c>
      <c r="O12" s="77">
        <v>45</v>
      </c>
      <c r="Q12" s="135" t="s">
        <v>25</v>
      </c>
      <c r="R12" s="77">
        <v>98</v>
      </c>
      <c r="S12" s="68"/>
      <c r="T12" s="125" t="s">
        <v>5</v>
      </c>
      <c r="U12" s="126">
        <v>14.2</v>
      </c>
      <c r="V12" s="68"/>
      <c r="W12" s="125" t="s">
        <v>64</v>
      </c>
      <c r="X12" s="125">
        <v>264</v>
      </c>
      <c r="Z12" s="123" t="s">
        <v>316</v>
      </c>
      <c r="AA12" s="123">
        <v>26</v>
      </c>
    </row>
    <row r="13" spans="2:27" s="75" customFormat="1" ht="18" customHeight="1">
      <c r="D13" s="110"/>
      <c r="E13" s="69">
        <v>20</v>
      </c>
      <c r="F13" s="69">
        <v>8.5</v>
      </c>
      <c r="G13" s="69">
        <v>20</v>
      </c>
      <c r="H13" s="69">
        <v>9.1</v>
      </c>
      <c r="I13" s="69">
        <v>14</v>
      </c>
      <c r="J13" s="69">
        <v>1.21</v>
      </c>
      <c r="K13" s="69">
        <v>40</v>
      </c>
      <c r="L13" s="69">
        <v>10</v>
      </c>
      <c r="N13" s="132" t="s">
        <v>26</v>
      </c>
      <c r="O13" s="123">
        <v>67</v>
      </c>
      <c r="Q13" s="135" t="s">
        <v>27</v>
      </c>
      <c r="R13" s="77">
        <v>120</v>
      </c>
      <c r="S13" s="68"/>
      <c r="T13" s="125" t="s">
        <v>6</v>
      </c>
      <c r="U13" s="126">
        <v>19.8</v>
      </c>
      <c r="V13" s="68"/>
      <c r="W13" s="68"/>
      <c r="X13" s="68"/>
      <c r="Z13" s="123" t="s">
        <v>317</v>
      </c>
      <c r="AA13" s="123">
        <v>40</v>
      </c>
    </row>
    <row r="14" spans="2:27" s="75" customFormat="1" ht="18" customHeight="1">
      <c r="B14" s="130" t="s">
        <v>318</v>
      </c>
      <c r="C14" s="130"/>
      <c r="D14" s="112"/>
      <c r="E14" s="69">
        <v>22</v>
      </c>
      <c r="F14" s="69">
        <v>10.5</v>
      </c>
      <c r="G14" s="69">
        <v>22</v>
      </c>
      <c r="H14" s="69">
        <v>11.1</v>
      </c>
      <c r="I14" s="69">
        <v>15</v>
      </c>
      <c r="J14" s="69">
        <v>1.58</v>
      </c>
      <c r="K14" s="69">
        <v>45</v>
      </c>
      <c r="L14" s="69">
        <v>11.5</v>
      </c>
      <c r="N14" s="132" t="s">
        <v>29</v>
      </c>
      <c r="O14" s="123">
        <v>83</v>
      </c>
      <c r="Q14" s="135" t="s">
        <v>30</v>
      </c>
      <c r="R14" s="77">
        <v>142</v>
      </c>
      <c r="S14" s="68"/>
      <c r="T14" s="125" t="s">
        <v>65</v>
      </c>
      <c r="U14" s="126">
        <v>28.3</v>
      </c>
      <c r="V14" s="68"/>
      <c r="W14" s="136" t="s">
        <v>321</v>
      </c>
      <c r="X14" s="136"/>
      <c r="Z14" s="77" t="s">
        <v>319</v>
      </c>
      <c r="AA14" s="77">
        <v>30</v>
      </c>
    </row>
    <row r="15" spans="2:27" s="75" customFormat="1" ht="18" customHeight="1">
      <c r="B15" s="78" t="s">
        <v>37</v>
      </c>
      <c r="C15" s="2"/>
      <c r="D15" s="110" t="s">
        <v>1</v>
      </c>
      <c r="E15" s="69">
        <v>26</v>
      </c>
      <c r="F15" s="69">
        <v>15</v>
      </c>
      <c r="G15" s="69">
        <v>26</v>
      </c>
      <c r="H15" s="69">
        <v>14.3</v>
      </c>
      <c r="I15" s="69">
        <v>18</v>
      </c>
      <c r="J15" s="69">
        <v>2</v>
      </c>
      <c r="K15" s="69">
        <v>50</v>
      </c>
      <c r="L15" s="69">
        <v>13</v>
      </c>
      <c r="N15" s="132" t="s">
        <v>32</v>
      </c>
      <c r="O15" s="123">
        <v>98</v>
      </c>
      <c r="Q15" s="133" t="s">
        <v>33</v>
      </c>
      <c r="R15" s="123">
        <v>134</v>
      </c>
      <c r="S15" s="68"/>
      <c r="T15" s="125" t="s">
        <v>8</v>
      </c>
      <c r="U15" s="126">
        <v>39.5</v>
      </c>
      <c r="V15" s="68"/>
      <c r="W15" s="122" t="s">
        <v>52</v>
      </c>
      <c r="X15" s="122" t="s">
        <v>2</v>
      </c>
      <c r="Z15" s="77" t="s">
        <v>320</v>
      </c>
      <c r="AA15" s="77">
        <v>44</v>
      </c>
    </row>
    <row r="16" spans="2:27" s="75" customFormat="1" ht="18" customHeight="1">
      <c r="B16" s="78" t="s">
        <v>48</v>
      </c>
      <c r="C16" s="137" t="str">
        <f>IFERROR(VLOOKUP(C15,$I$7:$J$30,2,FALSE),"CHECK INPUTS")</f>
        <v>CHECK INPUTS</v>
      </c>
      <c r="D16" s="110" t="s">
        <v>49</v>
      </c>
      <c r="E16" s="69">
        <v>32</v>
      </c>
      <c r="F16" s="69">
        <v>30</v>
      </c>
      <c r="G16" s="69">
        <v>32</v>
      </c>
      <c r="H16" s="69">
        <v>25</v>
      </c>
      <c r="I16" s="69">
        <v>20</v>
      </c>
      <c r="J16" s="69">
        <v>2.4700000000000002</v>
      </c>
      <c r="K16" s="69">
        <v>55</v>
      </c>
      <c r="L16" s="69">
        <v>13.9</v>
      </c>
      <c r="N16" s="78" t="s">
        <v>34</v>
      </c>
      <c r="O16" s="77">
        <v>101</v>
      </c>
      <c r="Q16" s="133" t="s">
        <v>35</v>
      </c>
      <c r="R16" s="123">
        <v>162</v>
      </c>
      <c r="S16" s="58"/>
      <c r="T16" s="125" t="s">
        <v>67</v>
      </c>
      <c r="U16" s="126">
        <v>62</v>
      </c>
      <c r="V16" s="68"/>
      <c r="W16" s="77" t="s">
        <v>324</v>
      </c>
      <c r="X16" s="138">
        <v>1.19</v>
      </c>
      <c r="Z16" s="77" t="s">
        <v>322</v>
      </c>
      <c r="AA16" s="77">
        <v>67</v>
      </c>
    </row>
    <row r="17" spans="2:27" s="75" customFormat="1" ht="18" customHeight="1">
      <c r="B17" s="78" t="s">
        <v>28</v>
      </c>
      <c r="C17" s="3"/>
      <c r="D17" s="110" t="s">
        <v>50</v>
      </c>
      <c r="E17" s="69"/>
      <c r="F17" s="69"/>
      <c r="G17" s="69"/>
      <c r="H17" s="69"/>
      <c r="I17" s="69">
        <v>22</v>
      </c>
      <c r="J17" s="69">
        <v>2.99</v>
      </c>
      <c r="K17" s="69">
        <v>60</v>
      </c>
      <c r="L17" s="69">
        <v>14.8</v>
      </c>
      <c r="N17" s="135" t="s">
        <v>38</v>
      </c>
      <c r="O17" s="77">
        <v>124</v>
      </c>
      <c r="Q17" s="133" t="s">
        <v>39</v>
      </c>
      <c r="R17" s="123">
        <v>191</v>
      </c>
      <c r="S17" s="58"/>
      <c r="T17" s="125" t="s">
        <v>68</v>
      </c>
      <c r="U17" s="126">
        <v>110</v>
      </c>
      <c r="V17" s="68"/>
      <c r="W17" s="77" t="s">
        <v>57</v>
      </c>
      <c r="X17" s="138">
        <v>1.73</v>
      </c>
      <c r="Z17" s="123" t="s">
        <v>323</v>
      </c>
      <c r="AA17" s="123">
        <v>40</v>
      </c>
    </row>
    <row r="18" spans="2:27" s="75" customFormat="1" ht="18" customHeight="1">
      <c r="B18" s="78" t="s">
        <v>31</v>
      </c>
      <c r="C18" s="3"/>
      <c r="D18" s="110" t="s">
        <v>1</v>
      </c>
      <c r="E18" s="69" t="s">
        <v>36</v>
      </c>
      <c r="F18" s="69"/>
      <c r="G18" s="69" t="s">
        <v>19</v>
      </c>
      <c r="H18" s="69"/>
      <c r="I18" s="69">
        <v>24</v>
      </c>
      <c r="J18" s="69">
        <v>3.55</v>
      </c>
      <c r="K18" s="69">
        <v>80</v>
      </c>
      <c r="L18" s="69">
        <v>20</v>
      </c>
      <c r="N18" s="135" t="s">
        <v>40</v>
      </c>
      <c r="O18" s="77">
        <v>146</v>
      </c>
      <c r="Q18" s="135" t="s">
        <v>41</v>
      </c>
      <c r="R18" s="77">
        <v>217</v>
      </c>
      <c r="S18" s="58"/>
      <c r="T18" s="125" t="s">
        <v>61</v>
      </c>
      <c r="U18" s="126">
        <v>160</v>
      </c>
      <c r="V18" s="68"/>
      <c r="W18" s="77" t="s">
        <v>327</v>
      </c>
      <c r="X18" s="138">
        <v>2.56</v>
      </c>
      <c r="Z18" s="123" t="s">
        <v>325</v>
      </c>
      <c r="AA18" s="123">
        <v>60</v>
      </c>
    </row>
    <row r="19" spans="2:27" s="75" customFormat="1" ht="18" customHeight="1">
      <c r="B19" s="90" t="s">
        <v>51</v>
      </c>
      <c r="C19" s="134" t="str">
        <f>IF(OR(NOT(ISNUMBER(C16)),NOT(ISNUMBER(C17)),C17&lt;=0,NOT(ISNUMBER(C18)),C18&lt;=0),"CHECK INPUTS",IFERROR((C17+2*C18/1000)*C16,"CHECK INPUTS"))</f>
        <v>CHECK INPUTS</v>
      </c>
      <c r="D19" s="110" t="s">
        <v>42</v>
      </c>
      <c r="E19" s="69">
        <v>6</v>
      </c>
      <c r="F19" s="69">
        <v>0.1</v>
      </c>
      <c r="G19" s="69">
        <v>6</v>
      </c>
      <c r="H19" s="69">
        <v>0.6</v>
      </c>
      <c r="I19" s="69">
        <v>26</v>
      </c>
      <c r="J19" s="69">
        <v>4.17</v>
      </c>
      <c r="K19" s="69">
        <v>100</v>
      </c>
      <c r="L19" s="69">
        <v>26</v>
      </c>
      <c r="N19" s="133" t="s">
        <v>18</v>
      </c>
      <c r="O19" s="123">
        <v>159</v>
      </c>
      <c r="Q19" s="135" t="s">
        <v>43</v>
      </c>
      <c r="R19" s="77">
        <v>267</v>
      </c>
      <c r="S19" s="58"/>
      <c r="T19" s="125" t="s">
        <v>63</v>
      </c>
      <c r="U19" s="126">
        <v>235</v>
      </c>
      <c r="V19" s="68"/>
      <c r="W19" s="77" t="s">
        <v>4</v>
      </c>
      <c r="X19" s="138">
        <v>3.6</v>
      </c>
      <c r="Z19" s="123" t="s">
        <v>326</v>
      </c>
      <c r="AA19" s="123">
        <v>90</v>
      </c>
    </row>
    <row r="20" spans="2:27" s="75" customFormat="1" ht="18" customHeight="1">
      <c r="B20" s="112"/>
      <c r="C20" s="139"/>
      <c r="D20" s="110"/>
      <c r="E20" s="69">
        <v>7</v>
      </c>
      <c r="F20" s="69">
        <v>0.2</v>
      </c>
      <c r="G20" s="69">
        <v>7</v>
      </c>
      <c r="H20" s="69">
        <v>0.9</v>
      </c>
      <c r="I20" s="69">
        <v>28</v>
      </c>
      <c r="J20" s="69">
        <v>4.84</v>
      </c>
      <c r="K20" s="69">
        <v>120</v>
      </c>
      <c r="L20" s="69">
        <v>32.200000000000003</v>
      </c>
      <c r="N20" s="133" t="s">
        <v>21</v>
      </c>
      <c r="O20" s="123">
        <v>195</v>
      </c>
      <c r="Q20" s="135" t="s">
        <v>45</v>
      </c>
      <c r="R20" s="77">
        <v>317</v>
      </c>
      <c r="S20" s="58"/>
      <c r="T20" s="125" t="s">
        <v>64</v>
      </c>
      <c r="U20" s="126">
        <v>285</v>
      </c>
      <c r="W20" s="77" t="s">
        <v>331</v>
      </c>
      <c r="X20" s="138">
        <v>4.95</v>
      </c>
      <c r="Z20" s="77" t="s">
        <v>328</v>
      </c>
      <c r="AA20" s="77">
        <v>52</v>
      </c>
    </row>
    <row r="21" spans="2:27" s="75" customFormat="1" ht="18" customHeight="1">
      <c r="D21" s="110"/>
      <c r="E21" s="69">
        <v>8</v>
      </c>
      <c r="F21" s="69">
        <v>0.2</v>
      </c>
      <c r="G21" s="69">
        <v>8</v>
      </c>
      <c r="H21" s="69">
        <v>0.9</v>
      </c>
      <c r="I21" s="69">
        <v>32</v>
      </c>
      <c r="J21" s="69">
        <v>6.32</v>
      </c>
      <c r="K21" s="69">
        <v>150</v>
      </c>
      <c r="L21" s="69">
        <v>41.6</v>
      </c>
      <c r="N21" s="133" t="s">
        <v>23</v>
      </c>
      <c r="O21" s="123">
        <v>232</v>
      </c>
      <c r="P21" s="110"/>
      <c r="Q21" s="110"/>
      <c r="R21" s="140"/>
      <c r="S21" s="58"/>
      <c r="W21" s="77" t="s">
        <v>334</v>
      </c>
      <c r="X21" s="138">
        <v>6.62</v>
      </c>
      <c r="Z21" s="77" t="s">
        <v>329</v>
      </c>
      <c r="AA21" s="77">
        <v>78</v>
      </c>
    </row>
    <row r="22" spans="2:27" s="75" customFormat="1" ht="18" customHeight="1">
      <c r="B22" s="130" t="s">
        <v>330</v>
      </c>
      <c r="C22" s="130"/>
      <c r="D22" s="112"/>
      <c r="E22" s="69">
        <v>10</v>
      </c>
      <c r="F22" s="69">
        <v>0.3</v>
      </c>
      <c r="G22" s="69">
        <v>10</v>
      </c>
      <c r="H22" s="69">
        <v>1.7</v>
      </c>
      <c r="I22" s="69">
        <v>36</v>
      </c>
      <c r="J22" s="69">
        <v>8</v>
      </c>
      <c r="K22" s="69"/>
      <c r="L22" s="69"/>
      <c r="N22" s="135" t="s">
        <v>25</v>
      </c>
      <c r="O22" s="77">
        <v>213</v>
      </c>
      <c r="P22" s="110"/>
      <c r="Q22" s="110"/>
      <c r="R22" s="140"/>
      <c r="S22" s="58"/>
      <c r="T22" s="141" t="s">
        <v>66</v>
      </c>
      <c r="U22" s="141"/>
      <c r="W22" s="77" t="s">
        <v>336</v>
      </c>
      <c r="X22" s="138">
        <v>8.11</v>
      </c>
      <c r="Z22" s="77" t="s">
        <v>332</v>
      </c>
      <c r="AA22" s="77">
        <v>117</v>
      </c>
    </row>
    <row r="23" spans="2:27" s="75" customFormat="1" ht="18" customHeight="1">
      <c r="B23" s="78" t="s">
        <v>52</v>
      </c>
      <c r="C23" s="4">
        <v>150</v>
      </c>
      <c r="D23" s="110" t="s">
        <v>333</v>
      </c>
      <c r="E23" s="69">
        <v>13</v>
      </c>
      <c r="F23" s="69">
        <v>0.7</v>
      </c>
      <c r="G23" s="69">
        <v>13</v>
      </c>
      <c r="H23" s="69">
        <v>3.3</v>
      </c>
      <c r="I23" s="69">
        <v>40</v>
      </c>
      <c r="J23" s="69">
        <v>9.8699999999999992</v>
      </c>
      <c r="K23" s="69"/>
      <c r="L23" s="69"/>
      <c r="N23" s="135" t="s">
        <v>27</v>
      </c>
      <c r="O23" s="77">
        <v>258</v>
      </c>
      <c r="R23" s="76"/>
      <c r="S23" s="68"/>
      <c r="T23" s="142">
        <v>26</v>
      </c>
      <c r="U23" s="142">
        <v>13</v>
      </c>
      <c r="W23" s="77" t="s">
        <v>7</v>
      </c>
      <c r="X23" s="138">
        <v>14.8</v>
      </c>
      <c r="Z23" s="123" t="s">
        <v>335</v>
      </c>
      <c r="AA23" s="123">
        <v>59</v>
      </c>
    </row>
    <row r="24" spans="2:27" s="75" customFormat="1" ht="18" customHeight="1">
      <c r="B24" s="78" t="s">
        <v>54</v>
      </c>
      <c r="C24" s="5">
        <v>12</v>
      </c>
      <c r="D24" s="110" t="s">
        <v>50</v>
      </c>
      <c r="E24" s="69">
        <v>16</v>
      </c>
      <c r="F24" s="69">
        <v>1.2</v>
      </c>
      <c r="G24" s="69">
        <v>16</v>
      </c>
      <c r="H24" s="69">
        <v>6</v>
      </c>
      <c r="I24" s="69">
        <v>44</v>
      </c>
      <c r="J24" s="69">
        <v>11.94</v>
      </c>
      <c r="K24" s="69"/>
      <c r="L24" s="69"/>
      <c r="N24" s="135" t="s">
        <v>30</v>
      </c>
      <c r="O24" s="77">
        <v>302</v>
      </c>
      <c r="P24" s="92"/>
      <c r="Q24" s="92"/>
      <c r="R24" s="93"/>
      <c r="S24" s="68"/>
      <c r="T24" s="142">
        <v>46.6</v>
      </c>
      <c r="U24" s="142">
        <v>25</v>
      </c>
      <c r="W24" s="77" t="s">
        <v>8</v>
      </c>
      <c r="X24" s="138">
        <v>23.3</v>
      </c>
      <c r="Z24" s="123" t="s">
        <v>337</v>
      </c>
      <c r="AA24" s="123">
        <v>89</v>
      </c>
    </row>
    <row r="25" spans="2:27" s="75" customFormat="1" ht="18" customHeight="1">
      <c r="B25" s="78" t="s">
        <v>338</v>
      </c>
      <c r="C25" s="134">
        <f>IF(OR(NOT(ISNUMBER(C24)),C24&lt;=0),"CHECK INPUTS",IFERROR(VLOOKUP(C23,$K$7:$L$21,2,FALSE)*C24,"CHECK INPUTS"))</f>
        <v>499.20000000000005</v>
      </c>
      <c r="D25" s="110" t="s">
        <v>49</v>
      </c>
      <c r="E25" s="69">
        <v>20</v>
      </c>
      <c r="F25" s="69">
        <v>1.9</v>
      </c>
      <c r="G25" s="69">
        <v>20</v>
      </c>
      <c r="H25" s="69">
        <v>8.6</v>
      </c>
      <c r="I25" s="69">
        <v>48</v>
      </c>
      <c r="J25" s="69">
        <v>14.21</v>
      </c>
      <c r="K25" s="69"/>
      <c r="L25" s="69"/>
      <c r="N25" s="58"/>
      <c r="O25" s="143"/>
      <c r="P25" s="68"/>
      <c r="Q25" s="68"/>
      <c r="R25" s="68"/>
      <c r="S25" s="68"/>
      <c r="T25" s="142">
        <v>56</v>
      </c>
      <c r="U25" s="142">
        <v>32</v>
      </c>
      <c r="W25" s="77" t="s">
        <v>67</v>
      </c>
      <c r="X25" s="138">
        <v>45.1</v>
      </c>
      <c r="Z25" s="123" t="s">
        <v>339</v>
      </c>
      <c r="AA25" s="123">
        <v>133</v>
      </c>
    </row>
    <row r="26" spans="2:27" s="75" customFormat="1" ht="18" customHeight="1">
      <c r="D26" s="110"/>
      <c r="E26" s="69">
        <v>22</v>
      </c>
      <c r="F26" s="69">
        <v>3</v>
      </c>
      <c r="G26" s="69">
        <v>22</v>
      </c>
      <c r="H26" s="69">
        <v>14.7</v>
      </c>
      <c r="I26" s="69">
        <v>52</v>
      </c>
      <c r="J26" s="69">
        <v>16.68</v>
      </c>
      <c r="K26" s="69"/>
      <c r="L26" s="69"/>
      <c r="S26" s="68"/>
      <c r="T26" s="142">
        <v>90</v>
      </c>
      <c r="U26" s="142">
        <v>50</v>
      </c>
      <c r="W26" s="77" t="s">
        <v>68</v>
      </c>
      <c r="X26" s="138">
        <v>72</v>
      </c>
      <c r="Z26" s="77" t="s">
        <v>340</v>
      </c>
      <c r="AA26" s="77">
        <v>80</v>
      </c>
    </row>
    <row r="27" spans="2:27" s="75" customFormat="1" ht="18" customHeight="1">
      <c r="D27" s="110"/>
      <c r="E27" s="69">
        <v>26</v>
      </c>
      <c r="F27" s="69">
        <v>4.5999999999999996</v>
      </c>
      <c r="G27" s="69">
        <v>26</v>
      </c>
      <c r="H27" s="69">
        <v>23.5</v>
      </c>
      <c r="I27" s="69">
        <v>56</v>
      </c>
      <c r="J27" s="69">
        <v>19.36</v>
      </c>
      <c r="K27" s="69"/>
      <c r="L27" s="69"/>
      <c r="T27" s="142">
        <v>125</v>
      </c>
      <c r="U27" s="142">
        <v>70</v>
      </c>
      <c r="W27" s="77" t="s">
        <v>343</v>
      </c>
      <c r="X27" s="138">
        <v>116</v>
      </c>
      <c r="Z27" s="77" t="s">
        <v>341</v>
      </c>
      <c r="AA27" s="77">
        <v>120</v>
      </c>
    </row>
    <row r="28" spans="2:27" s="75" customFormat="1" ht="18" customHeight="1">
      <c r="D28" s="110"/>
      <c r="E28" s="69">
        <v>32</v>
      </c>
      <c r="F28" s="69">
        <v>8.6</v>
      </c>
      <c r="G28" s="69">
        <v>32</v>
      </c>
      <c r="H28" s="69">
        <v>20</v>
      </c>
      <c r="I28" s="69">
        <v>58</v>
      </c>
      <c r="J28" s="69">
        <v>20.75</v>
      </c>
      <c r="K28" s="69"/>
      <c r="L28" s="69"/>
      <c r="T28" s="142">
        <v>157</v>
      </c>
      <c r="U28" s="142">
        <v>103</v>
      </c>
      <c r="W28" s="77" t="s">
        <v>345</v>
      </c>
      <c r="X28" s="138">
        <v>156</v>
      </c>
      <c r="Z28" s="77" t="s">
        <v>342</v>
      </c>
      <c r="AA28" s="77">
        <v>180</v>
      </c>
    </row>
    <row r="29" spans="2:27" s="75" customFormat="1" ht="18" customHeight="1">
      <c r="D29" s="110"/>
      <c r="E29" s="69"/>
      <c r="F29" s="69"/>
      <c r="G29" s="69"/>
      <c r="H29" s="69"/>
      <c r="I29" s="69">
        <v>64</v>
      </c>
      <c r="J29" s="69">
        <v>25.28</v>
      </c>
      <c r="K29" s="69"/>
      <c r="L29" s="69"/>
      <c r="T29" s="142">
        <v>250</v>
      </c>
      <c r="U29" s="142">
        <v>165</v>
      </c>
      <c r="W29" s="75" t="s">
        <v>347</v>
      </c>
      <c r="Z29" s="123" t="s">
        <v>344</v>
      </c>
      <c r="AA29" s="123">
        <v>104</v>
      </c>
    </row>
    <row r="30" spans="2:27" s="75" customFormat="1" ht="18" customHeight="1">
      <c r="D30" s="110"/>
      <c r="E30" s="69" t="s">
        <v>14</v>
      </c>
      <c r="F30" s="69"/>
      <c r="G30" s="69"/>
      <c r="H30" s="69"/>
      <c r="I30" s="69">
        <v>75</v>
      </c>
      <c r="J30" s="69">
        <v>34.69</v>
      </c>
      <c r="K30" s="69"/>
      <c r="L30" s="69"/>
      <c r="V30" s="67"/>
      <c r="Z30" s="144" t="s">
        <v>346</v>
      </c>
      <c r="AA30" s="144">
        <v>156</v>
      </c>
    </row>
    <row r="31" spans="2:27" s="75" customFormat="1" ht="18" customHeight="1">
      <c r="D31" s="110"/>
      <c r="E31" s="69">
        <v>6</v>
      </c>
      <c r="F31" s="69">
        <v>0.2</v>
      </c>
      <c r="G31" s="69"/>
      <c r="H31" s="69"/>
      <c r="I31" s="69"/>
      <c r="J31" s="69"/>
      <c r="K31" s="69"/>
      <c r="L31" s="69"/>
      <c r="T31" s="67"/>
      <c r="U31" s="67"/>
      <c r="V31" s="67"/>
      <c r="W31" s="67"/>
      <c r="X31" s="67"/>
      <c r="Z31" s="144" t="s">
        <v>348</v>
      </c>
      <c r="AA31" s="144">
        <v>234</v>
      </c>
    </row>
    <row r="32" spans="2:27" s="75" customFormat="1" ht="18" customHeight="1">
      <c r="D32" s="110"/>
      <c r="E32" s="69">
        <v>7</v>
      </c>
      <c r="F32" s="69">
        <v>0.5</v>
      </c>
      <c r="G32" s="69"/>
      <c r="H32" s="69"/>
      <c r="I32" s="69"/>
      <c r="J32" s="69"/>
      <c r="K32" s="69"/>
      <c r="L32" s="69"/>
      <c r="T32" s="67"/>
      <c r="U32" s="67"/>
      <c r="V32" s="67"/>
      <c r="W32" s="67"/>
      <c r="X32" s="67"/>
      <c r="Y32" s="67"/>
      <c r="Z32" s="67"/>
      <c r="AA32" s="67"/>
    </row>
    <row r="33" spans="2:28" s="75" customFormat="1" ht="18" customHeight="1">
      <c r="D33" s="110"/>
      <c r="E33" s="69">
        <v>8</v>
      </c>
      <c r="F33" s="69">
        <v>0.5</v>
      </c>
      <c r="G33" s="69"/>
      <c r="H33" s="69"/>
      <c r="I33" s="69"/>
      <c r="J33" s="69"/>
      <c r="K33" s="69"/>
      <c r="L33" s="69"/>
      <c r="T33" s="67"/>
      <c r="U33" s="67"/>
      <c r="V33" s="67"/>
      <c r="W33" s="67"/>
      <c r="X33" s="67"/>
      <c r="Y33" s="67"/>
      <c r="Z33" s="67"/>
      <c r="AA33" s="67"/>
    </row>
    <row r="34" spans="2:28" s="75" customFormat="1" ht="18" customHeight="1">
      <c r="D34" s="110"/>
      <c r="E34" s="69">
        <v>10</v>
      </c>
      <c r="F34" s="69">
        <v>0.9</v>
      </c>
      <c r="G34" s="69"/>
      <c r="H34" s="69"/>
      <c r="I34" s="69"/>
      <c r="J34" s="69"/>
      <c r="K34" s="69"/>
      <c r="L34" s="69"/>
      <c r="T34" s="67"/>
      <c r="U34" s="67"/>
      <c r="V34" s="67"/>
      <c r="W34" s="67"/>
      <c r="X34" s="67"/>
      <c r="Y34" s="67"/>
      <c r="Z34" s="67"/>
      <c r="AA34" s="67"/>
    </row>
    <row r="35" spans="2:28" s="75" customFormat="1" ht="18" customHeight="1">
      <c r="D35" s="110"/>
      <c r="E35" s="69">
        <v>13</v>
      </c>
      <c r="F35" s="69">
        <v>2.1</v>
      </c>
      <c r="G35" s="69"/>
      <c r="H35" s="69"/>
      <c r="I35" s="69"/>
      <c r="J35" s="69"/>
      <c r="K35" s="69"/>
      <c r="L35" s="69"/>
      <c r="N35" s="67"/>
      <c r="O35" s="67"/>
      <c r="P35" s="67"/>
      <c r="Q35" s="67"/>
      <c r="R35" s="67"/>
      <c r="T35" s="67"/>
      <c r="U35" s="67"/>
      <c r="V35" s="67"/>
      <c r="W35" s="67"/>
      <c r="X35" s="67"/>
      <c r="Y35" s="67"/>
      <c r="Z35" s="67"/>
      <c r="AA35" s="67"/>
    </row>
    <row r="36" spans="2:28" s="75" customFormat="1" ht="18" customHeight="1">
      <c r="D36" s="110"/>
      <c r="E36" s="69">
        <v>16</v>
      </c>
      <c r="F36" s="69">
        <v>3.5</v>
      </c>
      <c r="G36" s="69"/>
      <c r="H36" s="69"/>
      <c r="I36" s="69"/>
      <c r="J36" s="69"/>
      <c r="K36" s="69"/>
      <c r="L36" s="69"/>
      <c r="N36" s="67"/>
      <c r="O36" s="67"/>
      <c r="P36" s="67"/>
      <c r="Q36" s="67"/>
      <c r="R36" s="67"/>
      <c r="S36" s="67"/>
      <c r="T36" s="67"/>
      <c r="U36" s="67"/>
      <c r="V36" s="67"/>
      <c r="W36" s="67"/>
      <c r="X36" s="67"/>
      <c r="Y36" s="67"/>
      <c r="Z36" s="67"/>
      <c r="AA36" s="67"/>
      <c r="AB36" s="67"/>
    </row>
    <row r="37" spans="2:28">
      <c r="E37" s="69">
        <v>20</v>
      </c>
      <c r="F37" s="69">
        <v>4.4000000000000004</v>
      </c>
    </row>
    <row r="38" spans="2:28">
      <c r="E38" s="69">
        <v>22</v>
      </c>
      <c r="F38" s="69">
        <v>8.1</v>
      </c>
    </row>
    <row r="39" spans="2:28">
      <c r="E39" s="69">
        <v>26</v>
      </c>
      <c r="F39" s="69">
        <v>14</v>
      </c>
    </row>
    <row r="40" spans="2:28">
      <c r="E40" s="69">
        <v>32</v>
      </c>
      <c r="F40" s="69">
        <v>27</v>
      </c>
    </row>
    <row r="42" spans="2:28" ht="15">
      <c r="B42" s="572" t="s">
        <v>809</v>
      </c>
    </row>
    <row r="43" spans="2:28" ht="15">
      <c r="B43" s="572" t="s">
        <v>810</v>
      </c>
      <c r="F43" s="574"/>
    </row>
    <row r="44" spans="2:28" ht="15">
      <c r="B44" s="572" t="s">
        <v>811</v>
      </c>
    </row>
    <row r="45" spans="2:28" ht="15">
      <c r="B45" s="573" t="s">
        <v>812</v>
      </c>
    </row>
    <row r="46" spans="2:28" ht="15">
      <c r="B46" s="573" t="s">
        <v>813</v>
      </c>
    </row>
  </sheetData>
  <sheetProtection sheet="1" objects="1" scenarios="1" selectLockedCells="1"/>
  <mergeCells count="12">
    <mergeCell ref="W4:X4"/>
    <mergeCell ref="B4:C4"/>
    <mergeCell ref="N4:R6"/>
    <mergeCell ref="I6:J6"/>
    <mergeCell ref="K6:L6"/>
    <mergeCell ref="T4:U4"/>
    <mergeCell ref="N8:O8"/>
    <mergeCell ref="Q8:R8"/>
    <mergeCell ref="B14:C14"/>
    <mergeCell ref="W14:X14"/>
    <mergeCell ref="B22:C22"/>
    <mergeCell ref="T22:U22"/>
  </mergeCells>
  <dataValidations count="8">
    <dataValidation type="decimal" operator="greaterThan" showInputMessage="1" showErrorMessage="1" errorTitle="Invalid dimension" error="Required dimension must be a number &gt; 0." sqref="C24" xr:uid="{B2E05E90-FF8E-4427-B71F-12C449EC8F8C}">
      <formula1>0</formula1>
    </dataValidation>
    <dataValidation type="decimal" operator="greaterThan" showInputMessage="1" showErrorMessage="1" errorTitle="Invalid dimension" error="Required dimension must be a number &gt; 0." sqref="C18" xr:uid="{F093C49C-C5D0-4C48-A953-5D46CC622604}">
      <formula1>0</formula1>
    </dataValidation>
    <dataValidation type="decimal" operator="greaterThan" showInputMessage="1" showErrorMessage="1" errorTitle="Invalid dimension" error="Required dimension must be a number &gt; 0." sqref="C17" xr:uid="{7C44F225-B823-4381-ADD6-8690C4112FE5}">
      <formula1>0</formula1>
    </dataValidation>
    <dataValidation type="decimal" operator="greaterThan" showInputMessage="1" showErrorMessage="1" errorTitle="Invalid dimension" error="Required dimension must be a number &gt; 0." sqref="C9" xr:uid="{E4898E4C-08DA-4095-836E-3C6E3E7DDAE9}">
      <formula1>0</formula1>
    </dataValidation>
    <dataValidation type="whole" operator="greaterThanOrEqual" allowBlank="1" showInputMessage="1" showErrorMessage="1" errorTitle="Invalid quantity" error="Must be a whole number ≥ 0." sqref="C10 C6:C8" xr:uid="{4D8A009D-A1FC-4263-99C4-6093D461F450}">
      <formula1>0</formula1>
    </dataValidation>
    <dataValidation type="list" allowBlank="1" showInputMessage="1" showErrorMessage="1" sqref="C5" xr:uid="{8FEB41D8-2061-416D-A5E6-180D012B46DA}">
      <formula1>$E$7:$E$16</formula1>
    </dataValidation>
    <dataValidation type="list" allowBlank="1" showInputMessage="1" showErrorMessage="1" sqref="C15" xr:uid="{373ED053-D1B3-4628-9B3D-8722209BE3CB}">
      <formula1>$I$7:$I$30</formula1>
    </dataValidation>
    <dataValidation type="list" allowBlank="1" showInputMessage="1" showErrorMessage="1" sqref="C23" xr:uid="{AB5D2260-8696-4D3C-AA2D-254E901B5D1B}">
      <formula1>$K$7:$K$21</formula1>
    </dataValidation>
  </dataValidations>
  <hyperlinks>
    <hyperlink ref="B45" r:id="rId1" xr:uid="{5BA60BD7-A859-4DD1-82A4-E8FADAA9D1C1}"/>
    <hyperlink ref="B46" r:id="rId2" xr:uid="{366E426F-454B-467D-BB60-3D70B247DA08}"/>
    <hyperlink ref="N2" location="Home!A1" display="Home" xr:uid="{627690A7-7F7C-4854-B695-39ED252581A2}"/>
  </hyperlinks>
  <pageMargins left="0.25" right="0.25" top="0.75" bottom="0.75" header="0.3" footer="0.3"/>
  <pageSetup paperSize="9" scale="66" orientation="landscape" horizontalDpi="300" verticalDpi="300"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A1F8-B6A7-4C01-B2D1-0AABC6CDCC0E}">
  <sheetPr codeName="Sheet27">
    <pageSetUpPr fitToPage="1"/>
  </sheetPr>
  <dimension ref="B2:Z34"/>
  <sheetViews>
    <sheetView showGridLines="0" showRowColHeaders="0" zoomScale="90" zoomScaleNormal="90" workbookViewId="0">
      <selection activeCell="N13" sqref="N13"/>
    </sheetView>
  </sheetViews>
  <sheetFormatPr defaultRowHeight="15"/>
  <cols>
    <col min="1" max="1" width="9.140625" style="68"/>
    <col min="2" max="2" width="5.42578125" style="68" customWidth="1"/>
    <col min="3" max="10" width="9.5703125" style="68" customWidth="1"/>
    <col min="11" max="11" width="5.42578125" style="68" customWidth="1"/>
    <col min="12" max="16384" width="9.140625" style="68"/>
  </cols>
  <sheetData>
    <row r="2" spans="2:26" ht="20.25">
      <c r="B2" s="505" t="s">
        <v>423</v>
      </c>
      <c r="G2" s="506" t="s">
        <v>296</v>
      </c>
      <c r="H2" s="506"/>
      <c r="I2" s="506"/>
      <c r="J2" s="507">
        <v>1.4999999999999999E-2</v>
      </c>
      <c r="L2" s="592" t="s">
        <v>298</v>
      </c>
      <c r="Z2" s="1"/>
    </row>
    <row r="4" spans="2:26">
      <c r="B4" s="485" t="s">
        <v>95</v>
      </c>
      <c r="C4" s="495" t="s">
        <v>284</v>
      </c>
      <c r="D4" s="495" t="s">
        <v>250</v>
      </c>
      <c r="E4" s="495" t="s">
        <v>255</v>
      </c>
      <c r="F4" s="495" t="s">
        <v>106</v>
      </c>
      <c r="G4" s="495" t="s">
        <v>107</v>
      </c>
      <c r="H4" s="495" t="s">
        <v>251</v>
      </c>
      <c r="I4" s="495" t="s">
        <v>254</v>
      </c>
      <c r="J4" s="495" t="s">
        <v>280</v>
      </c>
      <c r="K4" s="485" t="s">
        <v>95</v>
      </c>
    </row>
    <row r="5" spans="2:26">
      <c r="B5" s="496">
        <v>1</v>
      </c>
      <c r="C5" s="496">
        <v>5700</v>
      </c>
      <c r="D5" s="496">
        <v>7100</v>
      </c>
      <c r="E5" s="496">
        <v>8565</v>
      </c>
      <c r="F5" s="496">
        <v>9500</v>
      </c>
      <c r="G5" s="496">
        <v>10600</v>
      </c>
      <c r="H5" s="496">
        <v>9500</v>
      </c>
      <c r="I5" s="496">
        <v>10600</v>
      </c>
      <c r="J5" s="496">
        <v>12700</v>
      </c>
      <c r="K5" s="496">
        <v>1</v>
      </c>
    </row>
    <row r="6" spans="2:26">
      <c r="B6" s="496">
        <v>2</v>
      </c>
      <c r="C6" s="515">
        <f t="shared" ref="C6:J10" si="0">C$5*(1-(1-$J$2)^$B6)/$J$2</f>
        <v>11314.499999999998</v>
      </c>
      <c r="D6" s="515">
        <f t="shared" si="0"/>
        <v>14093.499999999998</v>
      </c>
      <c r="E6" s="515">
        <f t="shared" si="0"/>
        <v>17001.524999999998</v>
      </c>
      <c r="F6" s="515">
        <f t="shared" si="0"/>
        <v>18857.499999999996</v>
      </c>
      <c r="G6" s="515">
        <f t="shared" si="0"/>
        <v>21040.999999999996</v>
      </c>
      <c r="H6" s="515">
        <f t="shared" si="0"/>
        <v>18857.499999999996</v>
      </c>
      <c r="I6" s="515">
        <f t="shared" si="0"/>
        <v>21040.999999999996</v>
      </c>
      <c r="J6" s="515">
        <f t="shared" si="0"/>
        <v>25209.499999999996</v>
      </c>
      <c r="K6" s="496">
        <v>2</v>
      </c>
    </row>
    <row r="7" spans="2:26">
      <c r="B7" s="496">
        <v>3</v>
      </c>
      <c r="C7" s="515">
        <f t="shared" si="0"/>
        <v>16844.78249999999</v>
      </c>
      <c r="D7" s="515">
        <f t="shared" si="0"/>
        <v>20982.097499999993</v>
      </c>
      <c r="E7" s="515">
        <f t="shared" si="0"/>
        <v>25311.502124999985</v>
      </c>
      <c r="F7" s="515">
        <f t="shared" si="0"/>
        <v>28074.637499999983</v>
      </c>
      <c r="G7" s="515">
        <f t="shared" si="0"/>
        <v>31325.384999999984</v>
      </c>
      <c r="H7" s="515">
        <f t="shared" si="0"/>
        <v>28074.637499999983</v>
      </c>
      <c r="I7" s="515">
        <f t="shared" si="0"/>
        <v>31325.384999999984</v>
      </c>
      <c r="J7" s="515">
        <f t="shared" si="0"/>
        <v>37531.357499999984</v>
      </c>
      <c r="K7" s="496">
        <v>3</v>
      </c>
    </row>
    <row r="8" spans="2:26">
      <c r="B8" s="497">
        <v>4</v>
      </c>
      <c r="C8" s="516">
        <f t="shared" si="0"/>
        <v>22292.110762500004</v>
      </c>
      <c r="D8" s="516">
        <f t="shared" si="0"/>
        <v>27767.366037500007</v>
      </c>
      <c r="E8" s="516">
        <f t="shared" si="0"/>
        <v>33496.829593125003</v>
      </c>
      <c r="F8" s="516">
        <f t="shared" si="0"/>
        <v>37153.517937500008</v>
      </c>
      <c r="G8" s="516">
        <f t="shared" si="0"/>
        <v>41455.504225000004</v>
      </c>
      <c r="H8" s="516">
        <f t="shared" si="0"/>
        <v>37153.517937500008</v>
      </c>
      <c r="I8" s="516">
        <f t="shared" si="0"/>
        <v>41455.504225000004</v>
      </c>
      <c r="J8" s="516">
        <f t="shared" si="0"/>
        <v>49668.387137500009</v>
      </c>
      <c r="K8" s="497">
        <v>4</v>
      </c>
    </row>
    <row r="9" spans="2:26">
      <c r="B9" s="496">
        <v>5</v>
      </c>
      <c r="C9" s="515">
        <f t="shared" si="0"/>
        <v>27657.72910106249</v>
      </c>
      <c r="D9" s="515">
        <f t="shared" si="0"/>
        <v>34450.855546937491</v>
      </c>
      <c r="E9" s="515">
        <f t="shared" si="0"/>
        <v>41559.377149228116</v>
      </c>
      <c r="F9" s="515">
        <f t="shared" si="0"/>
        <v>46096.215168437484</v>
      </c>
      <c r="G9" s="515">
        <f t="shared" si="0"/>
        <v>51433.671661624983</v>
      </c>
      <c r="H9" s="515">
        <f t="shared" si="0"/>
        <v>46096.215168437484</v>
      </c>
      <c r="I9" s="515">
        <f t="shared" si="0"/>
        <v>51433.671661624983</v>
      </c>
      <c r="J9" s="515">
        <f t="shared" si="0"/>
        <v>61623.361330437481</v>
      </c>
      <c r="K9" s="496">
        <v>5</v>
      </c>
    </row>
    <row r="10" spans="2:26">
      <c r="B10" s="517">
        <v>6</v>
      </c>
      <c r="C10" s="518">
        <f t="shared" si="0"/>
        <v>32942.86316454655</v>
      </c>
      <c r="D10" s="518">
        <f t="shared" si="0"/>
        <v>41034.092713733422</v>
      </c>
      <c r="E10" s="518">
        <f t="shared" si="0"/>
        <v>49500.986491989679</v>
      </c>
      <c r="F10" s="518">
        <f t="shared" si="0"/>
        <v>54904.771940910912</v>
      </c>
      <c r="G10" s="518">
        <f t="shared" si="0"/>
        <v>61262.166586700601</v>
      </c>
      <c r="H10" s="518">
        <f t="shared" si="0"/>
        <v>54904.771940910912</v>
      </c>
      <c r="I10" s="518">
        <f t="shared" si="0"/>
        <v>61262.166586700601</v>
      </c>
      <c r="J10" s="518">
        <f t="shared" si="0"/>
        <v>73399.010910480909</v>
      </c>
      <c r="K10" s="517">
        <v>6</v>
      </c>
    </row>
    <row r="11" spans="2:26">
      <c r="B11" s="496">
        <v>7</v>
      </c>
      <c r="C11" s="496"/>
      <c r="D11" s="515">
        <f t="shared" ref="D11:J14" si="1">D$5*(1-(1-$J$2)^$B11)/$J$2</f>
        <v>47518.581323027443</v>
      </c>
      <c r="E11" s="515">
        <f t="shared" si="1"/>
        <v>57323.471694609863</v>
      </c>
      <c r="F11" s="515">
        <f t="shared" si="1"/>
        <v>63581.20036179728</v>
      </c>
      <c r="G11" s="515">
        <f t="shared" si="1"/>
        <v>70943.234087900113</v>
      </c>
      <c r="H11" s="515">
        <f t="shared" si="1"/>
        <v>63581.20036179728</v>
      </c>
      <c r="I11" s="515">
        <f t="shared" si="1"/>
        <v>70943.234087900113</v>
      </c>
      <c r="J11" s="515">
        <f t="shared" si="1"/>
        <v>84998.02574682374</v>
      </c>
      <c r="K11" s="496">
        <v>7</v>
      </c>
    </row>
    <row r="12" spans="2:26">
      <c r="B12" s="498">
        <v>8</v>
      </c>
      <c r="C12" s="498"/>
      <c r="D12" s="519">
        <f t="shared" si="1"/>
        <v>53905.802603182012</v>
      </c>
      <c r="E12" s="519">
        <f t="shared" si="1"/>
        <v>65028.6196191907</v>
      </c>
      <c r="F12" s="519">
        <f t="shared" si="1"/>
        <v>72127.48235637031</v>
      </c>
      <c r="G12" s="519">
        <f t="shared" si="1"/>
        <v>80479.085576581594</v>
      </c>
      <c r="H12" s="519">
        <f t="shared" si="1"/>
        <v>72127.48235637031</v>
      </c>
      <c r="I12" s="519">
        <f t="shared" si="1"/>
        <v>80479.085576581594</v>
      </c>
      <c r="J12" s="519">
        <f t="shared" si="1"/>
        <v>96423.055360621365</v>
      </c>
      <c r="K12" s="498">
        <v>8</v>
      </c>
    </row>
    <row r="13" spans="2:26">
      <c r="B13" s="496">
        <v>9</v>
      </c>
      <c r="C13" s="496"/>
      <c r="D13" s="515">
        <f t="shared" si="1"/>
        <v>60197.215564134305</v>
      </c>
      <c r="E13" s="515">
        <f t="shared" si="1"/>
        <v>72618.190324902855</v>
      </c>
      <c r="F13" s="515">
        <f t="shared" si="1"/>
        <v>80545.570121024764</v>
      </c>
      <c r="G13" s="515">
        <f t="shared" si="1"/>
        <v>89871.899292932896</v>
      </c>
      <c r="H13" s="515">
        <f t="shared" si="1"/>
        <v>80545.570121024764</v>
      </c>
      <c r="I13" s="515">
        <f t="shared" si="1"/>
        <v>89871.899292932896</v>
      </c>
      <c r="J13" s="515">
        <f t="shared" si="1"/>
        <v>107676.70953021206</v>
      </c>
      <c r="K13" s="496">
        <v>9</v>
      </c>
    </row>
    <row r="14" spans="2:26">
      <c r="B14" s="496">
        <v>10</v>
      </c>
      <c r="C14" s="496"/>
      <c r="D14" s="515">
        <f t="shared" si="1"/>
        <v>66394.257330672277</v>
      </c>
      <c r="E14" s="515">
        <f t="shared" si="1"/>
        <v>80093.917470029293</v>
      </c>
      <c r="F14" s="515">
        <f t="shared" si="1"/>
        <v>88837.386569209382</v>
      </c>
      <c r="G14" s="515">
        <f t="shared" si="1"/>
        <v>99123.820803538896</v>
      </c>
      <c r="H14" s="515">
        <f t="shared" si="1"/>
        <v>88837.386569209382</v>
      </c>
      <c r="I14" s="515">
        <f t="shared" si="1"/>
        <v>99123.820803538896</v>
      </c>
      <c r="J14" s="515">
        <f t="shared" si="1"/>
        <v>118761.55888725886</v>
      </c>
      <c r="K14" s="496">
        <v>10</v>
      </c>
    </row>
    <row r="15" spans="2:26">
      <c r="B15" s="496">
        <v>11</v>
      </c>
      <c r="C15" s="496"/>
      <c r="D15" s="515">
        <f t="shared" ref="D15:I15" si="2">D$5*(1-(1-$J$2)^$B15)/$J$2</f>
        <v>72498.343470712178</v>
      </c>
      <c r="E15" s="515">
        <f t="shared" si="2"/>
        <v>87457.508707978835</v>
      </c>
      <c r="F15" s="515">
        <f t="shared" si="2"/>
        <v>97004.825770671217</v>
      </c>
      <c r="G15" s="515">
        <f t="shared" si="2"/>
        <v>108236.96349148577</v>
      </c>
      <c r="H15" s="515">
        <f t="shared" si="2"/>
        <v>97004.825770671217</v>
      </c>
      <c r="I15" s="515">
        <f t="shared" si="2"/>
        <v>108236.96349148577</v>
      </c>
      <c r="J15" s="496"/>
      <c r="K15" s="496">
        <v>11</v>
      </c>
    </row>
    <row r="16" spans="2:26">
      <c r="B16" s="496">
        <v>12</v>
      </c>
      <c r="C16" s="496"/>
      <c r="D16" s="496"/>
      <c r="E16" s="496"/>
      <c r="F16" s="515">
        <f t="shared" ref="F16:I22" si="3">F$5*(1-(1-$J$2)^$B16)/$J$2</f>
        <v>105049.75338411117</v>
      </c>
      <c r="G16" s="515">
        <f t="shared" si="3"/>
        <v>117213.40903911353</v>
      </c>
      <c r="H16" s="515">
        <f t="shared" si="3"/>
        <v>105049.75338411117</v>
      </c>
      <c r="I16" s="515">
        <f t="shared" si="3"/>
        <v>117213.40903911353</v>
      </c>
      <c r="J16" s="496"/>
      <c r="K16" s="496">
        <v>12</v>
      </c>
    </row>
    <row r="17" spans="2:13">
      <c r="B17" s="496">
        <v>13</v>
      </c>
      <c r="C17" s="496"/>
      <c r="D17" s="496"/>
      <c r="E17" s="496"/>
      <c r="F17" s="515">
        <f t="shared" si="3"/>
        <v>112974.00708334953</v>
      </c>
      <c r="G17" s="515">
        <f t="shared" si="3"/>
        <v>126055.20790352684</v>
      </c>
      <c r="H17" s="515">
        <f t="shared" si="3"/>
        <v>112974.00708334953</v>
      </c>
      <c r="I17" s="515">
        <f t="shared" si="3"/>
        <v>126055.20790352684</v>
      </c>
      <c r="J17" s="496"/>
      <c r="K17" s="496">
        <v>13</v>
      </c>
    </row>
    <row r="18" spans="2:13">
      <c r="B18" s="496">
        <v>14</v>
      </c>
      <c r="C18" s="496"/>
      <c r="D18" s="496"/>
      <c r="E18" s="496"/>
      <c r="F18" s="515">
        <f t="shared" si="3"/>
        <v>120779.39697709921</v>
      </c>
      <c r="G18" s="515">
        <f t="shared" si="3"/>
        <v>134764.37978497386</v>
      </c>
      <c r="H18" s="515">
        <f t="shared" si="3"/>
        <v>120779.39697709921</v>
      </c>
      <c r="I18" s="515">
        <f t="shared" si="3"/>
        <v>134764.37978497386</v>
      </c>
      <c r="J18" s="496"/>
      <c r="K18" s="496">
        <v>14</v>
      </c>
    </row>
    <row r="19" spans="2:13">
      <c r="B19" s="496">
        <v>15</v>
      </c>
      <c r="C19" s="496"/>
      <c r="D19" s="496"/>
      <c r="E19" s="496"/>
      <c r="F19" s="515">
        <f t="shared" si="3"/>
        <v>128467.70602244281</v>
      </c>
      <c r="G19" s="515">
        <f t="shared" si="3"/>
        <v>143342.91408819932</v>
      </c>
      <c r="H19" s="515">
        <f t="shared" si="3"/>
        <v>128467.70602244281</v>
      </c>
      <c r="I19" s="515">
        <f t="shared" si="3"/>
        <v>143342.91408819932</v>
      </c>
      <c r="J19" s="496"/>
      <c r="K19" s="496">
        <v>15</v>
      </c>
    </row>
    <row r="20" spans="2:13">
      <c r="B20" s="496">
        <v>16</v>
      </c>
      <c r="C20" s="496"/>
      <c r="D20" s="496"/>
      <c r="E20" s="496"/>
      <c r="F20" s="515">
        <f t="shared" si="3"/>
        <v>136040.69043210614</v>
      </c>
      <c r="G20" s="515">
        <f t="shared" si="3"/>
        <v>151792.77037687632</v>
      </c>
      <c r="H20" s="515">
        <f t="shared" si="3"/>
        <v>136040.69043210614</v>
      </c>
      <c r="I20" s="515">
        <f t="shared" si="3"/>
        <v>151792.77037687632</v>
      </c>
      <c r="J20" s="496"/>
      <c r="K20" s="496">
        <v>16</v>
      </c>
    </row>
    <row r="21" spans="2:13">
      <c r="B21" s="496">
        <v>17</v>
      </c>
      <c r="C21" s="496"/>
      <c r="D21" s="496"/>
      <c r="E21" s="496"/>
      <c r="F21" s="515">
        <f t="shared" si="3"/>
        <v>143500.0800756246</v>
      </c>
      <c r="G21" s="515">
        <f t="shared" si="3"/>
        <v>160115.87882122322</v>
      </c>
      <c r="H21" s="515">
        <f t="shared" si="3"/>
        <v>143500.0800756246</v>
      </c>
      <c r="I21" s="515">
        <f t="shared" si="3"/>
        <v>160115.87882122322</v>
      </c>
      <c r="J21" s="496"/>
      <c r="K21" s="496">
        <v>17</v>
      </c>
    </row>
    <row r="22" spans="2:13">
      <c r="B22" s="496">
        <v>18</v>
      </c>
      <c r="C22" s="496"/>
      <c r="D22" s="496"/>
      <c r="E22" s="496"/>
      <c r="F22" s="515">
        <f t="shared" si="3"/>
        <v>150847.57887449019</v>
      </c>
      <c r="G22" s="515">
        <f t="shared" si="3"/>
        <v>168314.14063890485</v>
      </c>
      <c r="H22" s="515">
        <f t="shared" si="3"/>
        <v>150847.57887449019</v>
      </c>
      <c r="I22" s="515">
        <f t="shared" si="3"/>
        <v>168314.14063890485</v>
      </c>
      <c r="J22" s="496"/>
      <c r="K22" s="496">
        <v>18</v>
      </c>
    </row>
    <row r="23" spans="2:13">
      <c r="B23" s="496">
        <v>19</v>
      </c>
      <c r="C23" s="496"/>
      <c r="D23" s="496"/>
      <c r="E23" s="496"/>
      <c r="F23" s="496"/>
      <c r="G23" s="496"/>
      <c r="H23" s="496"/>
      <c r="I23" s="496"/>
      <c r="J23" s="496"/>
      <c r="K23" s="496">
        <v>19</v>
      </c>
    </row>
    <row r="24" spans="2:13">
      <c r="B24" s="496">
        <v>20</v>
      </c>
      <c r="C24" s="496"/>
      <c r="D24" s="496"/>
      <c r="E24" s="496"/>
      <c r="F24" s="496"/>
      <c r="G24" s="496"/>
      <c r="H24" s="496"/>
      <c r="I24" s="496"/>
      <c r="J24" s="496"/>
      <c r="K24" s="496">
        <v>20</v>
      </c>
    </row>
    <row r="25" spans="2:13">
      <c r="B25" s="496">
        <v>21</v>
      </c>
      <c r="C25" s="496"/>
      <c r="D25" s="496"/>
      <c r="E25" s="496"/>
      <c r="F25" s="496"/>
      <c r="G25" s="496"/>
      <c r="H25" s="496"/>
      <c r="I25" s="496"/>
      <c r="J25" s="496"/>
      <c r="K25" s="496">
        <v>21</v>
      </c>
    </row>
    <row r="26" spans="2:13">
      <c r="B26" s="496">
        <v>22</v>
      </c>
      <c r="C26" s="496"/>
      <c r="D26" s="496"/>
      <c r="E26" s="496"/>
      <c r="F26" s="496"/>
      <c r="G26" s="496"/>
      <c r="H26" s="496"/>
      <c r="I26" s="496"/>
      <c r="J26" s="496"/>
      <c r="K26" s="496">
        <v>22</v>
      </c>
    </row>
    <row r="27" spans="2:13">
      <c r="B27" s="496">
        <v>23</v>
      </c>
      <c r="C27" s="496"/>
      <c r="D27" s="496"/>
      <c r="E27" s="496"/>
      <c r="F27" s="496"/>
      <c r="G27" s="496"/>
      <c r="H27" s="496"/>
      <c r="I27" s="496"/>
      <c r="J27" s="496"/>
      <c r="K27" s="496">
        <v>23</v>
      </c>
    </row>
    <row r="28" spans="2:13">
      <c r="B28" s="496">
        <v>24</v>
      </c>
      <c r="C28" s="496"/>
      <c r="D28" s="496"/>
      <c r="E28" s="496"/>
      <c r="F28" s="496"/>
      <c r="G28" s="496"/>
      <c r="H28" s="496"/>
      <c r="I28" s="496"/>
      <c r="J28" s="496"/>
      <c r="K28" s="496">
        <v>24</v>
      </c>
    </row>
    <row r="30" spans="2:13">
      <c r="B30" s="572" t="s">
        <v>809</v>
      </c>
      <c r="F30" s="583" t="s">
        <v>814</v>
      </c>
      <c r="G30" s="584"/>
      <c r="H30" s="584"/>
      <c r="I30" s="584"/>
      <c r="J30" s="584"/>
      <c r="K30" s="584"/>
      <c r="L30" s="584"/>
      <c r="M30" s="585"/>
    </row>
    <row r="31" spans="2:13">
      <c r="B31" s="572" t="s">
        <v>810</v>
      </c>
      <c r="F31" s="586"/>
      <c r="G31" s="587"/>
      <c r="H31" s="587"/>
      <c r="I31" s="587"/>
      <c r="J31" s="587"/>
      <c r="K31" s="587"/>
      <c r="L31" s="587"/>
      <c r="M31" s="588"/>
    </row>
    <row r="32" spans="2:13">
      <c r="B32" s="572" t="s">
        <v>811</v>
      </c>
      <c r="F32" s="586"/>
      <c r="G32" s="587"/>
      <c r="H32" s="587"/>
      <c r="I32" s="587"/>
      <c r="J32" s="587"/>
      <c r="K32" s="587"/>
      <c r="L32" s="587"/>
      <c r="M32" s="588"/>
    </row>
    <row r="33" spans="2:13">
      <c r="B33" s="573" t="s">
        <v>812</v>
      </c>
      <c r="F33" s="589"/>
      <c r="G33" s="590"/>
      <c r="H33" s="590"/>
      <c r="I33" s="590"/>
      <c r="J33" s="590"/>
      <c r="K33" s="590"/>
      <c r="L33" s="590"/>
      <c r="M33" s="591"/>
    </row>
    <row r="34" spans="2:13">
      <c r="B34" s="573" t="s">
        <v>813</v>
      </c>
    </row>
  </sheetData>
  <sheetProtection sheet="1" objects="1" scenarios="1" selectLockedCells="1"/>
  <mergeCells count="2">
    <mergeCell ref="G2:I2"/>
    <mergeCell ref="F30:M33"/>
  </mergeCells>
  <hyperlinks>
    <hyperlink ref="L2" location="Home!A1" display="Home" xr:uid="{C51B5AB0-E9E5-40CA-8B3A-01B21B4C570C}"/>
    <hyperlink ref="B33" r:id="rId1" xr:uid="{BE480B0C-D1F1-47E3-B31F-EBA8266F0D97}"/>
    <hyperlink ref="B34" r:id="rId2" xr:uid="{E802987F-8AB9-4310-9AC4-F2C02A2FD95A}"/>
  </hyperlinks>
  <pageMargins left="0.25" right="0.25" top="0.75" bottom="0.75" header="0.3" footer="0.3"/>
  <pageSetup paperSize="9" orientation="landscape" horizontalDpi="300" verticalDpi="300"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B171C-B06A-4DBC-BFB5-3AFA52A6ADC0}">
  <sheetPr codeName="Sheet28">
    <pageSetUpPr fitToPage="1"/>
  </sheetPr>
  <dimension ref="B2:Z34"/>
  <sheetViews>
    <sheetView showGridLines="0" showRowColHeaders="0" zoomScale="90" zoomScaleNormal="90" workbookViewId="0">
      <selection activeCell="N13" sqref="N13"/>
    </sheetView>
  </sheetViews>
  <sheetFormatPr defaultRowHeight="15"/>
  <cols>
    <col min="1" max="1" width="9.140625" style="68"/>
    <col min="2" max="2" width="5.42578125" style="68" customWidth="1"/>
    <col min="3" max="11" width="8" style="68" customWidth="1"/>
    <col min="12" max="12" width="5.42578125" style="68" customWidth="1"/>
    <col min="13" max="16384" width="9.140625" style="68"/>
  </cols>
  <sheetData>
    <row r="2" spans="2:26" ht="20.25">
      <c r="B2" s="505" t="s">
        <v>424</v>
      </c>
      <c r="G2" s="506" t="s">
        <v>296</v>
      </c>
      <c r="H2" s="506"/>
      <c r="I2" s="506"/>
      <c r="J2" s="507">
        <v>1.4999999999999999E-2</v>
      </c>
      <c r="L2" s="592" t="s">
        <v>298</v>
      </c>
      <c r="Z2" s="1"/>
    </row>
    <row r="4" spans="2:26">
      <c r="B4" s="485" t="s">
        <v>95</v>
      </c>
      <c r="C4" s="495" t="s">
        <v>278</v>
      </c>
      <c r="D4" s="495" t="s">
        <v>287</v>
      </c>
      <c r="E4" s="495" t="s">
        <v>286</v>
      </c>
      <c r="F4" s="495" t="s">
        <v>108</v>
      </c>
      <c r="G4" s="495" t="s">
        <v>109</v>
      </c>
      <c r="H4" s="495" t="s">
        <v>289</v>
      </c>
      <c r="I4" s="495" t="s">
        <v>245</v>
      </c>
      <c r="J4" s="495" t="s">
        <v>110</v>
      </c>
      <c r="K4" s="495" t="s">
        <v>249</v>
      </c>
      <c r="L4" s="485" t="s">
        <v>95</v>
      </c>
    </row>
    <row r="5" spans="2:26">
      <c r="B5" s="496">
        <v>1</v>
      </c>
      <c r="C5" s="496">
        <v>5600</v>
      </c>
      <c r="D5" s="496">
        <v>6800</v>
      </c>
      <c r="E5" s="496">
        <v>8300</v>
      </c>
      <c r="F5" s="496">
        <v>9900</v>
      </c>
      <c r="G5" s="496">
        <v>10000</v>
      </c>
      <c r="H5" s="496">
        <v>9900</v>
      </c>
      <c r="I5" s="496">
        <v>9900</v>
      </c>
      <c r="J5" s="496">
        <v>11800</v>
      </c>
      <c r="K5" s="496">
        <v>11800</v>
      </c>
      <c r="L5" s="496">
        <v>1</v>
      </c>
    </row>
    <row r="6" spans="2:26">
      <c r="B6" s="496">
        <v>2</v>
      </c>
      <c r="C6" s="515">
        <f t="shared" ref="C6:K10" si="0">C$5*(1-(1-$J$2)^$B6)/$J$2</f>
        <v>11116</v>
      </c>
      <c r="D6" s="515">
        <f t="shared" si="0"/>
        <v>13497.999999999998</v>
      </c>
      <c r="E6" s="515">
        <f t="shared" si="0"/>
        <v>16475.5</v>
      </c>
      <c r="F6" s="515">
        <f t="shared" si="0"/>
        <v>19651.5</v>
      </c>
      <c r="G6" s="515">
        <f t="shared" si="0"/>
        <v>19849.999999999996</v>
      </c>
      <c r="H6" s="515">
        <f t="shared" si="0"/>
        <v>19651.5</v>
      </c>
      <c r="I6" s="515">
        <f t="shared" si="0"/>
        <v>19651.5</v>
      </c>
      <c r="J6" s="515">
        <f t="shared" si="0"/>
        <v>23423</v>
      </c>
      <c r="K6" s="515">
        <f t="shared" si="0"/>
        <v>23423</v>
      </c>
      <c r="L6" s="496">
        <v>2</v>
      </c>
    </row>
    <row r="7" spans="2:26">
      <c r="B7" s="496">
        <v>3</v>
      </c>
      <c r="C7" s="515">
        <f t="shared" si="0"/>
        <v>16549.259999999991</v>
      </c>
      <c r="D7" s="515">
        <f t="shared" si="0"/>
        <v>20095.529999999988</v>
      </c>
      <c r="E7" s="515">
        <f t="shared" si="0"/>
        <v>24528.367499999986</v>
      </c>
      <c r="F7" s="515">
        <f t="shared" si="0"/>
        <v>29256.727499999986</v>
      </c>
      <c r="G7" s="515">
        <f t="shared" si="0"/>
        <v>29552.249999999985</v>
      </c>
      <c r="H7" s="515">
        <f t="shared" si="0"/>
        <v>29256.727499999986</v>
      </c>
      <c r="I7" s="515">
        <f t="shared" si="0"/>
        <v>29256.727499999986</v>
      </c>
      <c r="J7" s="515">
        <f t="shared" si="0"/>
        <v>34871.654999999984</v>
      </c>
      <c r="K7" s="515">
        <f t="shared" si="0"/>
        <v>34871.654999999984</v>
      </c>
      <c r="L7" s="496">
        <v>3</v>
      </c>
    </row>
    <row r="8" spans="2:26">
      <c r="B8" s="497">
        <v>4</v>
      </c>
      <c r="C8" s="516">
        <f t="shared" si="0"/>
        <v>21901.021100000002</v>
      </c>
      <c r="D8" s="516">
        <f t="shared" si="0"/>
        <v>26594.097050000008</v>
      </c>
      <c r="E8" s="516">
        <f t="shared" si="0"/>
        <v>32460.441987500006</v>
      </c>
      <c r="F8" s="516">
        <f t="shared" si="0"/>
        <v>38717.876587500003</v>
      </c>
      <c r="G8" s="516">
        <f t="shared" si="0"/>
        <v>39108.966250000005</v>
      </c>
      <c r="H8" s="516">
        <f t="shared" si="0"/>
        <v>38717.876587500003</v>
      </c>
      <c r="I8" s="516">
        <f t="shared" si="0"/>
        <v>38717.876587500003</v>
      </c>
      <c r="J8" s="516">
        <f t="shared" si="0"/>
        <v>46148.58017500001</v>
      </c>
      <c r="K8" s="516">
        <f t="shared" si="0"/>
        <v>46148.58017500001</v>
      </c>
      <c r="L8" s="497">
        <v>4</v>
      </c>
    </row>
    <row r="9" spans="2:26">
      <c r="B9" s="496">
        <v>5</v>
      </c>
      <c r="C9" s="515">
        <f t="shared" si="0"/>
        <v>27172.50578349999</v>
      </c>
      <c r="D9" s="515">
        <f t="shared" si="0"/>
        <v>32995.18559424999</v>
      </c>
      <c r="E9" s="515">
        <f t="shared" si="0"/>
        <v>40273.535357687484</v>
      </c>
      <c r="F9" s="515">
        <f t="shared" si="0"/>
        <v>48037.108438687486</v>
      </c>
      <c r="G9" s="515">
        <f t="shared" si="0"/>
        <v>48522.331756249987</v>
      </c>
      <c r="H9" s="515">
        <f t="shared" si="0"/>
        <v>48037.108438687486</v>
      </c>
      <c r="I9" s="515">
        <f t="shared" si="0"/>
        <v>48037.108438687486</v>
      </c>
      <c r="J9" s="515">
        <f t="shared" si="0"/>
        <v>57256.351472374976</v>
      </c>
      <c r="K9" s="515">
        <f t="shared" si="0"/>
        <v>57256.351472374976</v>
      </c>
      <c r="L9" s="496">
        <v>5</v>
      </c>
    </row>
    <row r="10" spans="2:26">
      <c r="B10" s="517">
        <v>6</v>
      </c>
      <c r="C10" s="518">
        <f t="shared" si="0"/>
        <v>32364.918196747483</v>
      </c>
      <c r="D10" s="518">
        <f t="shared" si="0"/>
        <v>39300.257810336232</v>
      </c>
      <c r="E10" s="518">
        <f t="shared" si="0"/>
        <v>47969.432327322167</v>
      </c>
      <c r="F10" s="518">
        <f t="shared" si="0"/>
        <v>57216.551812107165</v>
      </c>
      <c r="G10" s="518">
        <f t="shared" si="0"/>
        <v>57794.496779906229</v>
      </c>
      <c r="H10" s="518">
        <f t="shared" si="0"/>
        <v>57216.551812107165</v>
      </c>
      <c r="I10" s="518">
        <f t="shared" si="0"/>
        <v>57216.551812107165</v>
      </c>
      <c r="J10" s="518">
        <f t="shared" si="0"/>
        <v>68197.506200289354</v>
      </c>
      <c r="K10" s="518">
        <f t="shared" si="0"/>
        <v>68197.506200289354</v>
      </c>
      <c r="L10" s="517">
        <v>6</v>
      </c>
    </row>
    <row r="11" spans="2:26">
      <c r="B11" s="496">
        <v>7</v>
      </c>
      <c r="C11" s="496"/>
      <c r="D11" s="515">
        <f t="shared" ref="D11:K15" si="1">D$5*(1-(1-$J$2)^$B11)/$J$2</f>
        <v>45510.753943181211</v>
      </c>
      <c r="E11" s="515">
        <f t="shared" si="1"/>
        <v>55549.890842412358</v>
      </c>
      <c r="F11" s="515">
        <f t="shared" si="1"/>
        <v>66258.303534925581</v>
      </c>
      <c r="G11" s="515">
        <f t="shared" si="1"/>
        <v>66927.579328207663</v>
      </c>
      <c r="H11" s="515">
        <f t="shared" si="1"/>
        <v>66258.303534925581</v>
      </c>
      <c r="I11" s="515">
        <f t="shared" si="1"/>
        <v>66258.303534925581</v>
      </c>
      <c r="J11" s="515">
        <f t="shared" si="1"/>
        <v>78974.543607285043</v>
      </c>
      <c r="K11" s="515">
        <f t="shared" si="1"/>
        <v>78974.543607285043</v>
      </c>
      <c r="L11" s="496">
        <v>7</v>
      </c>
    </row>
    <row r="12" spans="2:26">
      <c r="B12" s="498">
        <v>8</v>
      </c>
      <c r="C12" s="498"/>
      <c r="D12" s="519">
        <f t="shared" si="1"/>
        <v>51628.092634033485</v>
      </c>
      <c r="E12" s="519">
        <f t="shared" si="1"/>
        <v>63016.642479776165</v>
      </c>
      <c r="F12" s="519">
        <f t="shared" si="1"/>
        <v>75164.428981901685</v>
      </c>
      <c r="G12" s="519">
        <f t="shared" si="1"/>
        <v>75923.665638284539</v>
      </c>
      <c r="H12" s="519">
        <f t="shared" si="1"/>
        <v>75164.428981901685</v>
      </c>
      <c r="I12" s="519">
        <f t="shared" si="1"/>
        <v>75164.428981901685</v>
      </c>
      <c r="J12" s="519">
        <f t="shared" si="1"/>
        <v>89589.925453175747</v>
      </c>
      <c r="K12" s="519">
        <f t="shared" si="1"/>
        <v>89589.925453175747</v>
      </c>
      <c r="L12" s="498">
        <v>8</v>
      </c>
    </row>
    <row r="13" spans="2:26">
      <c r="B13" s="496">
        <v>9</v>
      </c>
      <c r="C13" s="496"/>
      <c r="D13" s="515">
        <f t="shared" si="1"/>
        <v>57653.671244522986</v>
      </c>
      <c r="E13" s="515">
        <f t="shared" si="1"/>
        <v>70371.392842579546</v>
      </c>
      <c r="F13" s="515">
        <f t="shared" si="1"/>
        <v>83936.962547173171</v>
      </c>
      <c r="G13" s="515">
        <f t="shared" si="1"/>
        <v>84784.810653710287</v>
      </c>
      <c r="H13" s="515">
        <f t="shared" si="1"/>
        <v>83936.962547173171</v>
      </c>
      <c r="I13" s="515">
        <f t="shared" si="1"/>
        <v>83936.962547173171</v>
      </c>
      <c r="J13" s="515">
        <f t="shared" si="1"/>
        <v>100046.07657137813</v>
      </c>
      <c r="K13" s="515">
        <f t="shared" si="1"/>
        <v>100046.07657137813</v>
      </c>
      <c r="L13" s="496">
        <v>9</v>
      </c>
    </row>
    <row r="14" spans="2:26">
      <c r="B14" s="496">
        <v>10</v>
      </c>
      <c r="C14" s="496"/>
      <c r="D14" s="515">
        <f t="shared" si="1"/>
        <v>63588.866175855139</v>
      </c>
      <c r="E14" s="515">
        <f t="shared" si="1"/>
        <v>77615.82194994083</v>
      </c>
      <c r="F14" s="515">
        <f t="shared" si="1"/>
        <v>92577.908108965566</v>
      </c>
      <c r="G14" s="515">
        <f t="shared" si="1"/>
        <v>93513.03849390462</v>
      </c>
      <c r="H14" s="515">
        <f t="shared" si="1"/>
        <v>92577.908108965566</v>
      </c>
      <c r="I14" s="515">
        <f t="shared" si="1"/>
        <v>92577.908108965566</v>
      </c>
      <c r="J14" s="515">
        <f t="shared" si="1"/>
        <v>110345.38542280745</v>
      </c>
      <c r="K14" s="515">
        <f t="shared" si="1"/>
        <v>110345.38542280745</v>
      </c>
      <c r="L14" s="496">
        <v>10</v>
      </c>
    </row>
    <row r="15" spans="2:26">
      <c r="B15" s="496">
        <v>11</v>
      </c>
      <c r="C15" s="496"/>
      <c r="D15" s="515">
        <f t="shared" si="1"/>
        <v>69435.033183217296</v>
      </c>
      <c r="E15" s="515">
        <f t="shared" si="1"/>
        <v>84751.584620691705</v>
      </c>
      <c r="F15" s="515">
        <f t="shared" si="1"/>
        <v>101089.23948733105</v>
      </c>
      <c r="G15" s="515">
        <f t="shared" si="1"/>
        <v>102110.34291649601</v>
      </c>
      <c r="H15" s="515">
        <f t="shared" si="1"/>
        <v>101089.23948733105</v>
      </c>
      <c r="I15" s="515">
        <f t="shared" si="1"/>
        <v>101089.23948733105</v>
      </c>
      <c r="J15" s="515">
        <f t="shared" si="1"/>
        <v>120490.20464146529</v>
      </c>
      <c r="K15" s="515">
        <f t="shared" si="1"/>
        <v>120490.20464146529</v>
      </c>
      <c r="L15" s="496">
        <v>11</v>
      </c>
    </row>
    <row r="16" spans="2:26">
      <c r="B16" s="496">
        <v>12</v>
      </c>
      <c r="C16" s="496"/>
      <c r="D16" s="515">
        <f t="shared" ref="D16:I16" si="2">D$5*(1-(1-$J$2)^$B16)/$J$2</f>
        <v>75193.507685469041</v>
      </c>
      <c r="E16" s="515">
        <f t="shared" si="2"/>
        <v>91780.310851381335</v>
      </c>
      <c r="F16" s="515">
        <f t="shared" si="2"/>
        <v>109472.90089502111</v>
      </c>
      <c r="G16" s="515">
        <f t="shared" si="2"/>
        <v>110578.6877727486</v>
      </c>
      <c r="H16" s="515">
        <f t="shared" si="2"/>
        <v>109472.90089502111</v>
      </c>
      <c r="I16" s="515">
        <f t="shared" si="2"/>
        <v>109472.90089502111</v>
      </c>
      <c r="J16" s="496"/>
      <c r="K16" s="496"/>
      <c r="L16" s="496">
        <v>12</v>
      </c>
    </row>
    <row r="17" spans="2:14">
      <c r="B17" s="496">
        <v>13</v>
      </c>
      <c r="C17" s="496"/>
      <c r="D17" s="515">
        <f>D$5*(1-(1-$J$2)^$B17)/$J$2</f>
        <v>80865.605070187012</v>
      </c>
      <c r="E17" s="496"/>
      <c r="F17" s="496"/>
      <c r="G17" s="515">
        <f>G$5*(1-(1-$J$2)^$B17)/$J$2</f>
        <v>118920.00745615739</v>
      </c>
      <c r="H17" s="515">
        <f>H$5*(1-(1-$J$2)^$B17)/$J$2</f>
        <v>117730.80738159582</v>
      </c>
      <c r="I17" s="496"/>
      <c r="J17" s="496"/>
      <c r="K17" s="496"/>
      <c r="L17" s="496">
        <v>13</v>
      </c>
    </row>
    <row r="18" spans="2:14">
      <c r="B18" s="496">
        <v>14</v>
      </c>
      <c r="C18" s="496"/>
      <c r="D18" s="496"/>
      <c r="E18" s="496"/>
      <c r="F18" s="496"/>
      <c r="G18" s="515">
        <f>G$5*(1-(1-$J$2)^$B18)/$J$2</f>
        <v>127136.20734431497</v>
      </c>
      <c r="H18" s="515">
        <f>H$5*(1-(1-$J$2)^$B18)/$J$2</f>
        <v>125864.84527087183</v>
      </c>
      <c r="I18" s="496"/>
      <c r="J18" s="496"/>
      <c r="K18" s="496"/>
      <c r="L18" s="496">
        <v>14</v>
      </c>
    </row>
    <row r="19" spans="2:14">
      <c r="B19" s="496">
        <v>15</v>
      </c>
      <c r="C19" s="496"/>
      <c r="D19" s="496"/>
      <c r="E19" s="496"/>
      <c r="F19" s="496"/>
      <c r="G19" s="515">
        <f>G$5*(1-(1-$J$2)^$B19)/$J$2</f>
        <v>135229.16423415035</v>
      </c>
      <c r="H19" s="496"/>
      <c r="I19" s="496"/>
      <c r="J19" s="496"/>
      <c r="K19" s="496"/>
      <c r="L19" s="496">
        <v>15</v>
      </c>
    </row>
    <row r="20" spans="2:14">
      <c r="B20" s="496">
        <v>16</v>
      </c>
      <c r="C20" s="496"/>
      <c r="D20" s="496"/>
      <c r="E20" s="496"/>
      <c r="F20" s="496"/>
      <c r="G20" s="515">
        <f>G$5*(1-(1-$J$2)^$B20)/$J$2</f>
        <v>143200.72677063802</v>
      </c>
      <c r="H20" s="496"/>
      <c r="I20" s="496"/>
      <c r="J20" s="496"/>
      <c r="K20" s="496"/>
      <c r="L20" s="496">
        <v>16</v>
      </c>
    </row>
    <row r="21" spans="2:14">
      <c r="B21" s="496">
        <v>17</v>
      </c>
      <c r="C21" s="496"/>
      <c r="D21" s="496"/>
      <c r="E21" s="496"/>
      <c r="F21" s="496"/>
      <c r="G21" s="515">
        <f>G$5*(1-(1-$J$2)^$B21)/$J$2</f>
        <v>151052.7158690785</v>
      </c>
      <c r="H21" s="496"/>
      <c r="I21" s="496"/>
      <c r="J21" s="496"/>
      <c r="K21" s="496"/>
      <c r="L21" s="496">
        <v>17</v>
      </c>
    </row>
    <row r="22" spans="2:14">
      <c r="B22" s="496">
        <v>18</v>
      </c>
      <c r="C22" s="496"/>
      <c r="D22" s="496"/>
      <c r="E22" s="496"/>
      <c r="F22" s="496"/>
      <c r="G22" s="515">
        <f>G$5*(1-(1-$J$2)^$B22)/$J$2</f>
        <v>158786.92513104231</v>
      </c>
      <c r="H22" s="496"/>
      <c r="I22" s="496"/>
      <c r="J22" s="496"/>
      <c r="K22" s="496"/>
      <c r="L22" s="496">
        <v>18</v>
      </c>
    </row>
    <row r="23" spans="2:14">
      <c r="B23" s="496">
        <v>19</v>
      </c>
      <c r="C23" s="496"/>
      <c r="D23" s="496"/>
      <c r="E23" s="496"/>
      <c r="F23" s="496"/>
      <c r="G23" s="496"/>
      <c r="H23" s="496"/>
      <c r="I23" s="496"/>
      <c r="J23" s="496"/>
      <c r="K23" s="496"/>
      <c r="L23" s="496">
        <v>19</v>
      </c>
    </row>
    <row r="24" spans="2:14">
      <c r="B24" s="496">
        <v>20</v>
      </c>
      <c r="C24" s="496"/>
      <c r="D24" s="496"/>
      <c r="E24" s="496"/>
      <c r="F24" s="496"/>
      <c r="G24" s="496"/>
      <c r="H24" s="496"/>
      <c r="I24" s="496"/>
      <c r="J24" s="496"/>
      <c r="K24" s="496"/>
      <c r="L24" s="496">
        <v>20</v>
      </c>
    </row>
    <row r="25" spans="2:14">
      <c r="B25" s="496">
        <v>21</v>
      </c>
      <c r="C25" s="496"/>
      <c r="D25" s="496"/>
      <c r="E25" s="496"/>
      <c r="F25" s="496"/>
      <c r="G25" s="496"/>
      <c r="H25" s="496"/>
      <c r="I25" s="496"/>
      <c r="J25" s="496"/>
      <c r="K25" s="496"/>
      <c r="L25" s="496">
        <v>21</v>
      </c>
    </row>
    <row r="26" spans="2:14">
      <c r="B26" s="496">
        <v>22</v>
      </c>
      <c r="C26" s="496"/>
      <c r="D26" s="496"/>
      <c r="E26" s="496"/>
      <c r="F26" s="496"/>
      <c r="G26" s="496"/>
      <c r="H26" s="496"/>
      <c r="I26" s="496"/>
      <c r="J26" s="496"/>
      <c r="K26" s="496"/>
      <c r="L26" s="496">
        <v>22</v>
      </c>
    </row>
    <row r="27" spans="2:14">
      <c r="B27" s="496">
        <v>23</v>
      </c>
      <c r="C27" s="496"/>
      <c r="D27" s="496"/>
      <c r="E27" s="496"/>
      <c r="F27" s="496"/>
      <c r="G27" s="496"/>
      <c r="H27" s="496"/>
      <c r="I27" s="496"/>
      <c r="J27" s="496"/>
      <c r="K27" s="496"/>
      <c r="L27" s="496">
        <v>23</v>
      </c>
    </row>
    <row r="28" spans="2:14">
      <c r="B28" s="496">
        <v>24</v>
      </c>
      <c r="C28" s="496"/>
      <c r="D28" s="496"/>
      <c r="E28" s="496"/>
      <c r="F28" s="496"/>
      <c r="G28" s="496"/>
      <c r="H28" s="496"/>
      <c r="I28" s="496"/>
      <c r="J28" s="496"/>
      <c r="K28" s="496"/>
      <c r="L28" s="496">
        <v>24</v>
      </c>
    </row>
    <row r="30" spans="2:14">
      <c r="B30" s="572" t="s">
        <v>809</v>
      </c>
      <c r="G30" s="583" t="s">
        <v>814</v>
      </c>
      <c r="H30" s="584"/>
      <c r="I30" s="584"/>
      <c r="J30" s="584"/>
      <c r="K30" s="584"/>
      <c r="L30" s="584"/>
      <c r="M30" s="584"/>
      <c r="N30" s="585"/>
    </row>
    <row r="31" spans="2:14">
      <c r="B31" s="572" t="s">
        <v>810</v>
      </c>
      <c r="G31" s="586"/>
      <c r="H31" s="587"/>
      <c r="I31" s="587"/>
      <c r="J31" s="587"/>
      <c r="K31" s="587"/>
      <c r="L31" s="587"/>
      <c r="M31" s="587"/>
      <c r="N31" s="588"/>
    </row>
    <row r="32" spans="2:14">
      <c r="B32" s="572" t="s">
        <v>811</v>
      </c>
      <c r="G32" s="586"/>
      <c r="H32" s="587"/>
      <c r="I32" s="587"/>
      <c r="J32" s="587"/>
      <c r="K32" s="587"/>
      <c r="L32" s="587"/>
      <c r="M32" s="587"/>
      <c r="N32" s="588"/>
    </row>
    <row r="33" spans="2:14">
      <c r="B33" s="573" t="s">
        <v>812</v>
      </c>
      <c r="G33" s="589"/>
      <c r="H33" s="590"/>
      <c r="I33" s="590"/>
      <c r="J33" s="590"/>
      <c r="K33" s="590"/>
      <c r="L33" s="590"/>
      <c r="M33" s="590"/>
      <c r="N33" s="591"/>
    </row>
    <row r="34" spans="2:14">
      <c r="B34" s="573" t="s">
        <v>813</v>
      </c>
    </row>
  </sheetData>
  <sheetProtection sheet="1" objects="1" scenarios="1" selectLockedCells="1"/>
  <mergeCells count="2">
    <mergeCell ref="G2:I2"/>
    <mergeCell ref="G30:N33"/>
  </mergeCells>
  <hyperlinks>
    <hyperlink ref="L2" location="Home!A1" display="Home" xr:uid="{1FE1CFF7-9155-448C-BA73-FC29A3C74B4E}"/>
    <hyperlink ref="B33" r:id="rId1" xr:uid="{D1636531-B30A-4B6B-841E-C2163402C094}"/>
    <hyperlink ref="B34" r:id="rId2" xr:uid="{5816F1A7-7F8D-4D92-A13D-4F2356E9BA76}"/>
  </hyperlinks>
  <pageMargins left="0.25" right="0.25" top="0.75" bottom="0.75" header="0.3" footer="0.3"/>
  <pageSetup paperSize="9" orientation="landscape" horizontalDpi="300" verticalDpi="300"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D59E2-026F-41B4-9B41-9064846ACDD1}">
  <sheetPr codeName="Sheet4">
    <pageSetUpPr fitToPage="1"/>
  </sheetPr>
  <dimension ref="B2:Y22"/>
  <sheetViews>
    <sheetView showGridLines="0" showRowColHeaders="0" zoomScale="85" zoomScaleNormal="85" workbookViewId="0">
      <selection activeCell="N13" sqref="N13"/>
    </sheetView>
  </sheetViews>
  <sheetFormatPr defaultColWidth="6.85546875" defaultRowHeight="15"/>
  <cols>
    <col min="1" max="1" width="2" style="68" customWidth="1"/>
    <col min="2" max="2" width="5.42578125" style="68" bestFit="1" customWidth="1"/>
    <col min="3" max="3" width="6.140625" style="68" bestFit="1" customWidth="1"/>
    <col min="4" max="4" width="6.42578125" style="68" bestFit="1" customWidth="1"/>
    <col min="5" max="5" width="7.140625" style="68" bestFit="1" customWidth="1"/>
    <col min="6" max="6" width="6.28515625" style="68" bestFit="1" customWidth="1"/>
    <col min="7" max="9" width="7.42578125" style="68" bestFit="1" customWidth="1"/>
    <col min="10" max="10" width="7.140625" style="68" bestFit="1" customWidth="1"/>
    <col min="11" max="11" width="7.42578125" style="68" bestFit="1" customWidth="1"/>
    <col min="12" max="12" width="9.7109375" style="68" bestFit="1" customWidth="1"/>
    <col min="13" max="13" width="7.42578125" style="68" bestFit="1" customWidth="1"/>
    <col min="14" max="14" width="9.5703125" style="68" bestFit="1" customWidth="1"/>
    <col min="15" max="15" width="3.140625" style="68" customWidth="1"/>
    <col min="16" max="16" width="5" style="68" bestFit="1" customWidth="1"/>
    <col min="17" max="18" width="8.7109375" style="68" bestFit="1" customWidth="1"/>
    <col min="19" max="19" width="9.5703125" style="68" bestFit="1" customWidth="1"/>
    <col min="20" max="21" width="8.7109375" style="68" bestFit="1" customWidth="1"/>
    <col min="22" max="23" width="10.140625" style="68" bestFit="1" customWidth="1"/>
    <col min="24" max="24" width="8.7109375" style="68" bestFit="1" customWidth="1"/>
    <col min="25" max="25" width="3.5703125" style="68" customWidth="1"/>
    <col min="26" max="26" width="5" style="68" bestFit="1" customWidth="1"/>
    <col min="27" max="27" width="7.85546875" style="68" bestFit="1" customWidth="1"/>
    <col min="28" max="29" width="7.85546875" style="68" customWidth="1"/>
    <col min="30" max="31" width="7.7109375" style="68" bestFit="1" customWidth="1"/>
    <col min="32" max="32" width="7.7109375" style="68" customWidth="1"/>
    <col min="33" max="33" width="8.140625" style="68" bestFit="1" customWidth="1"/>
    <col min="34" max="34" width="7.7109375" style="68" bestFit="1" customWidth="1"/>
    <col min="35" max="35" width="9.5703125" style="68" bestFit="1" customWidth="1"/>
    <col min="36" max="36" width="6.85546875" style="68"/>
    <col min="37" max="37" width="8.140625" style="68" bestFit="1" customWidth="1"/>
    <col min="38" max="38" width="7.7109375" style="68" bestFit="1" customWidth="1"/>
    <col min="39" max="39" width="8.140625" style="68" bestFit="1" customWidth="1"/>
    <col min="40" max="40" width="7.7109375" style="68" bestFit="1" customWidth="1"/>
    <col min="41" max="41" width="9.5703125" style="68" bestFit="1" customWidth="1"/>
    <col min="42" max="16384" width="6.85546875" style="68"/>
  </cols>
  <sheetData>
    <row r="2" spans="2:25" ht="20.25">
      <c r="B2" s="562" t="s">
        <v>434</v>
      </c>
      <c r="C2" s="563"/>
      <c r="D2" s="506"/>
      <c r="E2" s="506"/>
      <c r="F2" s="61"/>
      <c r="G2" s="506" t="s">
        <v>296</v>
      </c>
      <c r="H2" s="506"/>
      <c r="I2" s="506"/>
      <c r="J2" s="507">
        <v>1.4999999999999999E-2</v>
      </c>
      <c r="N2" s="592" t="s">
        <v>298</v>
      </c>
    </row>
    <row r="4" spans="2:25">
      <c r="S4" s="524"/>
    </row>
    <row r="5" spans="2:25">
      <c r="S5" s="524"/>
    </row>
    <row r="6" spans="2:25">
      <c r="B6" s="520" t="s">
        <v>111</v>
      </c>
      <c r="C6" s="521"/>
      <c r="D6" s="521"/>
      <c r="E6" s="522"/>
      <c r="G6" s="390" t="s">
        <v>253</v>
      </c>
      <c r="H6" s="392"/>
      <c r="Y6" s="524"/>
    </row>
    <row r="7" spans="2:25">
      <c r="G7" s="496">
        <v>1</v>
      </c>
      <c r="H7" s="496">
        <v>13500</v>
      </c>
      <c r="J7" s="502" t="s">
        <v>44</v>
      </c>
      <c r="K7" s="502"/>
      <c r="L7" s="503"/>
      <c r="Y7" s="524"/>
    </row>
    <row r="8" spans="2:25">
      <c r="B8" s="485" t="s">
        <v>95</v>
      </c>
      <c r="C8" s="495" t="s">
        <v>112</v>
      </c>
      <c r="D8" s="495" t="s">
        <v>113</v>
      </c>
      <c r="E8" s="495" t="s">
        <v>114</v>
      </c>
      <c r="G8" s="496">
        <v>2</v>
      </c>
      <c r="H8" s="496">
        <v>27000</v>
      </c>
      <c r="J8" s="485" t="s">
        <v>46</v>
      </c>
      <c r="K8" s="485" t="s">
        <v>47</v>
      </c>
      <c r="L8" s="503"/>
      <c r="X8" s="524"/>
    </row>
    <row r="9" spans="2:25">
      <c r="B9" s="496">
        <v>1</v>
      </c>
      <c r="C9" s="496">
        <v>3500</v>
      </c>
      <c r="D9" s="496">
        <v>4200</v>
      </c>
      <c r="E9" s="496">
        <v>4200</v>
      </c>
      <c r="G9" s="496">
        <v>3</v>
      </c>
      <c r="H9" s="496">
        <v>40500</v>
      </c>
      <c r="J9" s="17"/>
      <c r="K9" s="504" t="str">
        <f>IF(J9="","",J9*101.97)</f>
        <v/>
      </c>
      <c r="L9" s="523"/>
      <c r="X9" s="524"/>
    </row>
    <row r="10" spans="2:25">
      <c r="B10" s="496">
        <v>2</v>
      </c>
      <c r="C10" s="496">
        <v>7000</v>
      </c>
      <c r="D10" s="496">
        <v>8400</v>
      </c>
      <c r="E10" s="496">
        <v>8400</v>
      </c>
      <c r="G10" s="496">
        <v>4</v>
      </c>
      <c r="H10" s="496">
        <v>54000</v>
      </c>
      <c r="X10" s="524"/>
    </row>
    <row r="11" spans="2:25">
      <c r="B11" s="496">
        <v>3</v>
      </c>
      <c r="C11" s="496">
        <v>10500</v>
      </c>
      <c r="D11" s="496">
        <v>12600</v>
      </c>
      <c r="E11" s="496">
        <v>12600</v>
      </c>
      <c r="G11" s="496">
        <v>5</v>
      </c>
      <c r="H11" s="496">
        <v>67500</v>
      </c>
      <c r="J11" s="485" t="s">
        <v>49</v>
      </c>
      <c r="K11" s="485" t="s">
        <v>46</v>
      </c>
      <c r="L11" s="503"/>
      <c r="X11" s="524"/>
    </row>
    <row r="12" spans="2:25">
      <c r="B12" s="496">
        <v>4</v>
      </c>
      <c r="C12" s="501"/>
      <c r="D12" s="496">
        <v>16800</v>
      </c>
      <c r="E12" s="496">
        <v>16800</v>
      </c>
      <c r="G12" s="496">
        <v>6</v>
      </c>
      <c r="H12" s="496">
        <v>81000</v>
      </c>
      <c r="J12" s="17"/>
      <c r="K12" s="504" t="str">
        <f>IF(J12="","",J12*0.00980665)</f>
        <v/>
      </c>
      <c r="L12" s="523"/>
      <c r="X12" s="524"/>
    </row>
    <row r="13" spans="2:25">
      <c r="B13" s="496">
        <v>6</v>
      </c>
      <c r="C13" s="501"/>
      <c r="D13" s="501"/>
      <c r="E13" s="496">
        <v>25000</v>
      </c>
      <c r="G13" s="496">
        <v>7</v>
      </c>
      <c r="H13" s="496">
        <v>94500</v>
      </c>
      <c r="X13" s="524"/>
    </row>
    <row r="14" spans="2:25">
      <c r="G14" s="496">
        <v>8</v>
      </c>
      <c r="H14" s="496">
        <v>108000</v>
      </c>
    </row>
    <row r="15" spans="2:25">
      <c r="G15" s="496">
        <v>9</v>
      </c>
      <c r="H15" s="496">
        <v>121500</v>
      </c>
    </row>
    <row r="16" spans="2:25">
      <c r="G16" s="496">
        <v>10</v>
      </c>
      <c r="H16" s="496">
        <v>145000</v>
      </c>
    </row>
    <row r="18" spans="2:14">
      <c r="B18" s="572" t="s">
        <v>809</v>
      </c>
      <c r="G18" s="583" t="s">
        <v>814</v>
      </c>
      <c r="H18" s="584"/>
      <c r="I18" s="584"/>
      <c r="J18" s="584"/>
      <c r="K18" s="584"/>
      <c r="L18" s="584"/>
      <c r="M18" s="584"/>
      <c r="N18" s="585"/>
    </row>
    <row r="19" spans="2:14">
      <c r="B19" s="572" t="s">
        <v>810</v>
      </c>
      <c r="G19" s="586"/>
      <c r="H19" s="587"/>
      <c r="I19" s="587"/>
      <c r="J19" s="587"/>
      <c r="K19" s="587"/>
      <c r="L19" s="587"/>
      <c r="M19" s="587"/>
      <c r="N19" s="588"/>
    </row>
    <row r="20" spans="2:14">
      <c r="B20" s="572" t="s">
        <v>811</v>
      </c>
      <c r="G20" s="586"/>
      <c r="H20" s="587"/>
      <c r="I20" s="587"/>
      <c r="J20" s="587"/>
      <c r="K20" s="587"/>
      <c r="L20" s="587"/>
      <c r="M20" s="587"/>
      <c r="N20" s="588"/>
    </row>
    <row r="21" spans="2:14">
      <c r="B21" s="573" t="s">
        <v>812</v>
      </c>
      <c r="G21" s="589"/>
      <c r="H21" s="590"/>
      <c r="I21" s="590"/>
      <c r="J21" s="590"/>
      <c r="K21" s="590"/>
      <c r="L21" s="590"/>
      <c r="M21" s="590"/>
      <c r="N21" s="591"/>
    </row>
    <row r="22" spans="2:14">
      <c r="B22" s="573" t="s">
        <v>813</v>
      </c>
    </row>
  </sheetData>
  <sheetProtection sheet="1" objects="1" scenarios="1" selectLockedCells="1"/>
  <mergeCells count="6">
    <mergeCell ref="G18:N21"/>
    <mergeCell ref="B2:E2"/>
    <mergeCell ref="G2:I2"/>
    <mergeCell ref="J7:K7"/>
    <mergeCell ref="G6:H6"/>
    <mergeCell ref="B6:E6"/>
  </mergeCells>
  <phoneticPr fontId="13" type="noConversion"/>
  <hyperlinks>
    <hyperlink ref="N2" location="Home!A1" display="Home" xr:uid="{A2567BBB-A5D2-4426-9681-05358877EA54}"/>
    <hyperlink ref="B21" r:id="rId1" xr:uid="{0748F2FA-5F51-4BED-BB4D-14D523C6283B}"/>
    <hyperlink ref="B22" r:id="rId2" xr:uid="{117246AC-00FD-45A3-AED6-0D6174BF819A}"/>
  </hyperlinks>
  <pageMargins left="0.25" right="0.25" top="0.75" bottom="0.75" header="0.3" footer="0.3"/>
  <pageSetup paperSize="9" orientation="landscape" horizontalDpi="300" verticalDpi="300"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53522-53E5-4031-A349-558D30F05CCE}">
  <sheetPr codeName="Sheet7">
    <pageSetUpPr fitToPage="1"/>
  </sheetPr>
  <dimension ref="B2:AP72"/>
  <sheetViews>
    <sheetView showGridLines="0" showRowColHeaders="0" zoomScale="85" zoomScaleNormal="85" workbookViewId="0">
      <selection activeCell="G2" sqref="G2"/>
    </sheetView>
  </sheetViews>
  <sheetFormatPr defaultRowHeight="15"/>
  <cols>
    <col min="1" max="1" width="5.140625" style="469" customWidth="1"/>
    <col min="2" max="2" width="11.85546875" style="524" bestFit="1" customWidth="1"/>
    <col min="3" max="3" width="7.42578125" style="524" bestFit="1" customWidth="1"/>
    <col min="4" max="4" width="11.28515625" style="524" bestFit="1" customWidth="1"/>
    <col min="5" max="5" width="6.85546875" style="524" bestFit="1" customWidth="1"/>
    <col min="6" max="6" width="2.28515625" style="524" customWidth="1"/>
    <col min="7" max="7" width="11.85546875" style="68" bestFit="1" customWidth="1"/>
    <col min="8" max="10" width="9.140625" style="68"/>
    <col min="11" max="11" width="1.85546875" style="68" customWidth="1"/>
    <col min="12" max="12" width="19.28515625" style="524" bestFit="1" customWidth="1"/>
    <col min="13" max="13" width="7.42578125" style="524" bestFit="1" customWidth="1"/>
    <col min="14" max="14" width="11.28515625" style="524" bestFit="1" customWidth="1"/>
    <col min="15" max="15" width="6.85546875" style="524" bestFit="1" customWidth="1"/>
    <col min="16" max="16" width="2" style="524" customWidth="1"/>
    <col min="17" max="17" width="19.28515625" style="524" bestFit="1" customWidth="1"/>
    <col min="18" max="18" width="7.42578125" style="524" bestFit="1" customWidth="1"/>
    <col min="19" max="19" width="11.28515625" style="524" bestFit="1" customWidth="1"/>
    <col min="20" max="20" width="6.85546875" style="524" bestFit="1" customWidth="1"/>
    <col min="21" max="23" width="6.85546875" style="524" customWidth="1"/>
    <col min="24" max="24" width="2" style="524" customWidth="1"/>
    <col min="25" max="25" width="11.85546875" style="524" bestFit="1" customWidth="1"/>
    <col min="26" max="26" width="7.42578125" style="524" bestFit="1" customWidth="1"/>
    <col min="27" max="27" width="11.28515625" style="524" bestFit="1" customWidth="1"/>
    <col min="28" max="28" width="6.85546875" style="524" bestFit="1" customWidth="1"/>
    <col min="29" max="29" width="6.140625" style="524" bestFit="1" customWidth="1"/>
    <col min="30" max="30" width="8.140625" style="524" bestFit="1" customWidth="1"/>
    <col min="31" max="31" width="2.85546875" style="524" customWidth="1"/>
    <col min="32" max="32" width="22.42578125" style="524" bestFit="1" customWidth="1"/>
    <col min="33" max="33" width="5" style="524" bestFit="1" customWidth="1"/>
    <col min="34" max="34" width="12.140625" style="524" bestFit="1" customWidth="1"/>
    <col min="35" max="35" width="13.5703125" style="524" customWidth="1"/>
    <col min="36" max="36" width="10.5703125" style="524" bestFit="1" customWidth="1"/>
    <col min="37" max="37" width="14.85546875" style="524" bestFit="1" customWidth="1"/>
    <col min="38" max="38" width="8.7109375" style="524" bestFit="1" customWidth="1"/>
    <col min="39" max="39" width="6.42578125" style="524" bestFit="1" customWidth="1"/>
    <col min="40" max="40" width="15" style="524" bestFit="1" customWidth="1"/>
    <col min="41" max="41" width="10.5703125" style="524" bestFit="1" customWidth="1"/>
    <col min="42" max="42" width="14.85546875" style="524" bestFit="1" customWidth="1"/>
    <col min="43" max="43" width="8.7109375" style="469" bestFit="1" customWidth="1"/>
    <col min="44" max="16384" width="9.140625" style="469"/>
  </cols>
  <sheetData>
    <row r="2" spans="2:42" ht="20.25">
      <c r="B2" s="146" t="s">
        <v>624</v>
      </c>
      <c r="G2" s="592" t="s">
        <v>298</v>
      </c>
    </row>
    <row r="3" spans="2:42">
      <c r="G3" s="469"/>
      <c r="H3" s="469"/>
      <c r="I3" s="469"/>
      <c r="J3" s="469"/>
      <c r="K3" s="469"/>
      <c r="N3" s="68"/>
      <c r="AN3" s="469"/>
      <c r="AO3" s="469"/>
      <c r="AP3" s="469"/>
    </row>
    <row r="4" spans="2:42" ht="12.75">
      <c r="B4" s="525" t="s">
        <v>120</v>
      </c>
      <c r="C4" s="526"/>
      <c r="D4" s="526" t="s">
        <v>134</v>
      </c>
      <c r="E4" s="527"/>
      <c r="G4" s="525" t="s">
        <v>241</v>
      </c>
      <c r="H4" s="526"/>
      <c r="I4" s="526" t="s">
        <v>140</v>
      </c>
      <c r="J4" s="527"/>
      <c r="K4" s="469"/>
      <c r="L4" s="525" t="s">
        <v>126</v>
      </c>
      <c r="M4" s="526"/>
      <c r="N4" s="526" t="s">
        <v>141</v>
      </c>
      <c r="O4" s="527"/>
      <c r="Q4" s="525" t="s">
        <v>128</v>
      </c>
      <c r="R4" s="526"/>
      <c r="S4" s="526" t="s">
        <v>141</v>
      </c>
      <c r="T4" s="527"/>
      <c r="Y4" s="525" t="s">
        <v>132</v>
      </c>
      <c r="Z4" s="526"/>
      <c r="AA4" s="526" t="s">
        <v>142</v>
      </c>
      <c r="AB4" s="526"/>
      <c r="AC4" s="527"/>
      <c r="AF4" s="528" t="s">
        <v>151</v>
      </c>
      <c r="AG4" s="527"/>
      <c r="AH4" s="499" t="s">
        <v>152</v>
      </c>
      <c r="AI4" s="496" t="s">
        <v>116</v>
      </c>
      <c r="AN4" s="469"/>
      <c r="AO4" s="469"/>
      <c r="AP4" s="469"/>
    </row>
    <row r="5" spans="2:42" ht="12.75">
      <c r="B5" s="529"/>
      <c r="E5" s="530"/>
      <c r="G5" s="531" t="s">
        <v>281</v>
      </c>
      <c r="H5" s="524"/>
      <c r="I5" s="524" t="s">
        <v>282</v>
      </c>
      <c r="J5" s="530"/>
      <c r="K5" s="469"/>
      <c r="L5" s="529"/>
      <c r="O5" s="530"/>
      <c r="Q5" s="529"/>
      <c r="T5" s="530"/>
      <c r="Y5" s="529"/>
      <c r="AC5" s="530"/>
      <c r="AF5" s="496">
        <v>1</v>
      </c>
      <c r="AG5" s="496">
        <v>1.31</v>
      </c>
      <c r="AH5" s="496">
        <v>13</v>
      </c>
      <c r="AI5" s="496">
        <v>0.85</v>
      </c>
      <c r="AN5" s="469"/>
      <c r="AO5" s="469"/>
      <c r="AP5" s="469"/>
    </row>
    <row r="6" spans="2:42" ht="12.75">
      <c r="B6" s="495" t="s">
        <v>52</v>
      </c>
      <c r="C6" s="495" t="s">
        <v>117</v>
      </c>
      <c r="D6" s="495" t="s">
        <v>118</v>
      </c>
      <c r="E6" s="495" t="s">
        <v>2</v>
      </c>
      <c r="F6" s="532"/>
      <c r="G6" s="495" t="s">
        <v>52</v>
      </c>
      <c r="H6" s="495" t="s">
        <v>117</v>
      </c>
      <c r="I6" s="495" t="s">
        <v>118</v>
      </c>
      <c r="J6" s="495" t="s">
        <v>2</v>
      </c>
      <c r="K6" s="469"/>
      <c r="L6" s="495" t="s">
        <v>52</v>
      </c>
      <c r="M6" s="495" t="s">
        <v>117</v>
      </c>
      <c r="N6" s="495" t="s">
        <v>118</v>
      </c>
      <c r="O6" s="495" t="s">
        <v>2</v>
      </c>
      <c r="P6" s="532"/>
      <c r="Q6" s="495" t="s">
        <v>52</v>
      </c>
      <c r="R6" s="495" t="s">
        <v>117</v>
      </c>
      <c r="S6" s="495" t="s">
        <v>118</v>
      </c>
      <c r="T6" s="495" t="s">
        <v>2</v>
      </c>
      <c r="U6" s="532"/>
      <c r="V6" s="532"/>
      <c r="W6" s="532"/>
      <c r="X6" s="532"/>
      <c r="Y6" s="495" t="s">
        <v>52</v>
      </c>
      <c r="Z6" s="495" t="s">
        <v>117</v>
      </c>
      <c r="AA6" s="495" t="s">
        <v>118</v>
      </c>
      <c r="AB6" s="495" t="s">
        <v>2</v>
      </c>
      <c r="AC6" s="496"/>
      <c r="AF6" s="496">
        <v>2</v>
      </c>
      <c r="AG6" s="496">
        <v>1.34</v>
      </c>
      <c r="AH6" s="496">
        <v>15</v>
      </c>
      <c r="AI6" s="496">
        <v>1.1200000000000001</v>
      </c>
      <c r="AN6" s="469"/>
      <c r="AO6" s="469"/>
      <c r="AP6" s="469"/>
    </row>
    <row r="7" spans="2:42" ht="12.75">
      <c r="B7" s="496">
        <v>35</v>
      </c>
      <c r="C7" s="496">
        <v>5</v>
      </c>
      <c r="D7" s="496">
        <v>10</v>
      </c>
      <c r="E7" s="496">
        <v>265</v>
      </c>
      <c r="G7" s="496">
        <v>68</v>
      </c>
      <c r="H7" s="496">
        <v>7</v>
      </c>
      <c r="I7" s="496">
        <v>12</v>
      </c>
      <c r="J7" s="496">
        <v>1240</v>
      </c>
      <c r="K7" s="469"/>
      <c r="L7" s="496">
        <v>151</v>
      </c>
      <c r="M7" s="496">
        <v>9</v>
      </c>
      <c r="N7" s="496">
        <v>16</v>
      </c>
      <c r="O7" s="496">
        <v>2000</v>
      </c>
      <c r="Q7" s="496">
        <v>213</v>
      </c>
      <c r="R7" s="496">
        <v>12</v>
      </c>
      <c r="S7" s="496">
        <v>20</v>
      </c>
      <c r="T7" s="496">
        <v>3400</v>
      </c>
      <c r="Y7" s="496">
        <v>600</v>
      </c>
      <c r="Z7" s="496" t="s">
        <v>143</v>
      </c>
      <c r="AA7" s="496" t="s">
        <v>144</v>
      </c>
      <c r="AB7" s="496">
        <v>11000</v>
      </c>
      <c r="AC7" s="496">
        <v>16000</v>
      </c>
      <c r="AF7" s="496">
        <v>3</v>
      </c>
      <c r="AG7" s="496">
        <v>1.36</v>
      </c>
      <c r="AH7" s="496">
        <v>17</v>
      </c>
      <c r="AI7" s="496">
        <v>1.45</v>
      </c>
      <c r="AN7" s="469"/>
      <c r="AO7" s="469"/>
      <c r="AP7" s="469"/>
    </row>
    <row r="8" spans="2:42" ht="12.75">
      <c r="B8" s="496">
        <v>22.4</v>
      </c>
      <c r="C8" s="496">
        <v>3</v>
      </c>
      <c r="D8" s="496">
        <v>7</v>
      </c>
      <c r="E8" s="496">
        <v>165</v>
      </c>
      <c r="G8" s="496">
        <v>59.2</v>
      </c>
      <c r="H8" s="496">
        <v>5</v>
      </c>
      <c r="I8" s="496">
        <v>10</v>
      </c>
      <c r="J8" s="496">
        <v>900</v>
      </c>
      <c r="K8" s="469"/>
      <c r="L8" s="496">
        <v>143</v>
      </c>
      <c r="M8" s="496">
        <v>7</v>
      </c>
      <c r="N8" s="496">
        <v>15</v>
      </c>
      <c r="O8" s="496">
        <v>1500</v>
      </c>
      <c r="Q8" s="496">
        <v>156</v>
      </c>
      <c r="R8" s="496">
        <v>7</v>
      </c>
      <c r="S8" s="496">
        <v>14</v>
      </c>
      <c r="T8" s="496">
        <v>2200</v>
      </c>
      <c r="Y8" s="496">
        <v>300</v>
      </c>
      <c r="Z8" s="496" t="s">
        <v>145</v>
      </c>
      <c r="AA8" s="496" t="s">
        <v>146</v>
      </c>
      <c r="AB8" s="496">
        <v>8000</v>
      </c>
      <c r="AC8" s="496">
        <v>4000</v>
      </c>
      <c r="AF8" s="496">
        <v>4</v>
      </c>
      <c r="AG8" s="496">
        <v>1.39</v>
      </c>
      <c r="AH8" s="496">
        <v>19</v>
      </c>
      <c r="AI8" s="496">
        <v>1.81</v>
      </c>
      <c r="AN8" s="469"/>
      <c r="AO8" s="469"/>
      <c r="AP8" s="469"/>
    </row>
    <row r="9" spans="2:42" ht="12.75">
      <c r="B9" s="496">
        <v>10</v>
      </c>
      <c r="C9" s="496">
        <v>1</v>
      </c>
      <c r="D9" s="496">
        <v>3</v>
      </c>
      <c r="E9" s="496">
        <v>145</v>
      </c>
      <c r="G9" s="496">
        <v>42.3</v>
      </c>
      <c r="H9" s="496">
        <v>3</v>
      </c>
      <c r="I9" s="496">
        <v>7</v>
      </c>
      <c r="J9" s="496">
        <v>700</v>
      </c>
      <c r="K9" s="469"/>
      <c r="L9" s="496">
        <v>108</v>
      </c>
      <c r="M9" s="496">
        <v>5</v>
      </c>
      <c r="N9" s="496">
        <v>11</v>
      </c>
      <c r="O9" s="496">
        <v>1300</v>
      </c>
      <c r="Q9" s="496">
        <v>125</v>
      </c>
      <c r="R9" s="496">
        <v>5</v>
      </c>
      <c r="S9" s="496">
        <v>11</v>
      </c>
      <c r="T9" s="496">
        <v>1600</v>
      </c>
      <c r="Y9" s="496">
        <v>400</v>
      </c>
      <c r="Z9" s="496" t="s">
        <v>147</v>
      </c>
      <c r="AA9" s="496" t="s">
        <v>148</v>
      </c>
      <c r="AB9" s="496">
        <v>7000</v>
      </c>
      <c r="AC9" s="496">
        <v>15000</v>
      </c>
      <c r="AF9" s="496">
        <v>5</v>
      </c>
      <c r="AG9" s="496">
        <v>1.41</v>
      </c>
      <c r="AH9" s="496">
        <v>21</v>
      </c>
      <c r="AI9" s="496">
        <v>2.2400000000000002</v>
      </c>
      <c r="AN9" s="469"/>
      <c r="AO9" s="469"/>
      <c r="AP9" s="469"/>
    </row>
    <row r="10" spans="2:42" ht="12.75">
      <c r="B10" s="496">
        <v>3.3</v>
      </c>
      <c r="C10" s="496" t="s">
        <v>119</v>
      </c>
      <c r="D10" s="496">
        <v>1</v>
      </c>
      <c r="E10" s="496">
        <v>75</v>
      </c>
      <c r="G10" s="496">
        <v>18.7</v>
      </c>
      <c r="H10" s="496">
        <v>1</v>
      </c>
      <c r="I10" s="496">
        <v>3</v>
      </c>
      <c r="J10" s="496">
        <v>460</v>
      </c>
      <c r="K10" s="469"/>
      <c r="L10" s="496">
        <v>71</v>
      </c>
      <c r="M10" s="496">
        <v>3</v>
      </c>
      <c r="N10" s="496">
        <v>7</v>
      </c>
      <c r="O10" s="496">
        <v>1040</v>
      </c>
      <c r="Q10" s="496">
        <v>80</v>
      </c>
      <c r="R10" s="496">
        <v>3</v>
      </c>
      <c r="S10" s="496">
        <v>7</v>
      </c>
      <c r="T10" s="496">
        <v>1000</v>
      </c>
      <c r="Y10" s="496">
        <v>200</v>
      </c>
      <c r="Z10" s="496" t="s">
        <v>149</v>
      </c>
      <c r="AA10" s="496" t="s">
        <v>150</v>
      </c>
      <c r="AB10" s="496">
        <v>5500</v>
      </c>
      <c r="AC10" s="496">
        <v>7500</v>
      </c>
      <c r="AF10" s="496">
        <v>6</v>
      </c>
      <c r="AG10" s="496">
        <v>1.44</v>
      </c>
      <c r="AH10" s="496">
        <v>23</v>
      </c>
      <c r="AI10" s="496">
        <v>2.67</v>
      </c>
      <c r="AN10" s="469"/>
      <c r="AO10" s="469"/>
      <c r="AP10" s="469"/>
    </row>
    <row r="11" spans="2:42" ht="12.75">
      <c r="G11" s="496">
        <v>6.3</v>
      </c>
      <c r="H11" s="496" t="s">
        <v>242</v>
      </c>
      <c r="I11" s="496">
        <v>1</v>
      </c>
      <c r="J11" s="496">
        <v>250</v>
      </c>
      <c r="K11" s="469"/>
      <c r="L11" s="496">
        <v>31.2</v>
      </c>
      <c r="M11" s="496">
        <v>1</v>
      </c>
      <c r="N11" s="496">
        <v>3</v>
      </c>
      <c r="O11" s="496">
        <v>840</v>
      </c>
      <c r="Q11" s="496">
        <v>36.200000000000003</v>
      </c>
      <c r="R11" s="496">
        <v>1</v>
      </c>
      <c r="S11" s="496">
        <v>3</v>
      </c>
      <c r="T11" s="496">
        <v>1000</v>
      </c>
      <c r="Y11" s="496">
        <v>107</v>
      </c>
      <c r="Z11" s="496">
        <v>3</v>
      </c>
      <c r="AA11" s="496">
        <v>7</v>
      </c>
      <c r="AB11" s="496">
        <v>2500</v>
      </c>
      <c r="AC11" s="496">
        <v>5500</v>
      </c>
      <c r="AF11" s="496">
        <v>7</v>
      </c>
      <c r="AG11" s="496">
        <v>1.46</v>
      </c>
      <c r="AH11" s="496">
        <v>25</v>
      </c>
      <c r="AI11" s="496">
        <v>3.3</v>
      </c>
      <c r="AN11" s="469"/>
      <c r="AO11" s="469"/>
      <c r="AP11" s="469"/>
    </row>
    <row r="12" spans="2:42" ht="12.75">
      <c r="B12" s="525" t="s">
        <v>121</v>
      </c>
      <c r="C12" s="526"/>
      <c r="D12" s="526" t="s">
        <v>135</v>
      </c>
      <c r="E12" s="527"/>
      <c r="G12" s="524"/>
      <c r="H12" s="524"/>
      <c r="I12" s="524"/>
      <c r="J12" s="524"/>
      <c r="K12" s="469"/>
      <c r="L12" s="496">
        <v>10.5</v>
      </c>
      <c r="M12" s="496" t="s">
        <v>119</v>
      </c>
      <c r="N12" s="496">
        <v>1</v>
      </c>
      <c r="O12" s="496">
        <v>500</v>
      </c>
      <c r="Q12" s="496">
        <v>12.2</v>
      </c>
      <c r="R12" s="496" t="s">
        <v>119</v>
      </c>
      <c r="S12" s="496">
        <v>1</v>
      </c>
      <c r="T12" s="496">
        <v>600</v>
      </c>
      <c r="Y12" s="496">
        <v>47</v>
      </c>
      <c r="Z12" s="496">
        <v>1</v>
      </c>
      <c r="AA12" s="496">
        <v>3</v>
      </c>
      <c r="AB12" s="496">
        <v>1000</v>
      </c>
      <c r="AC12" s="496">
        <v>3000</v>
      </c>
      <c r="AF12" s="496">
        <v>8</v>
      </c>
      <c r="AG12" s="496">
        <v>1.49</v>
      </c>
      <c r="AH12" s="496">
        <v>28</v>
      </c>
      <c r="AI12" s="496">
        <v>3.94</v>
      </c>
      <c r="AN12" s="469"/>
      <c r="AO12" s="469"/>
      <c r="AP12" s="469"/>
    </row>
    <row r="13" spans="2:42" ht="12.75">
      <c r="B13" s="529"/>
      <c r="E13" s="530"/>
      <c r="G13" s="525" t="s">
        <v>124</v>
      </c>
      <c r="H13" s="526"/>
      <c r="I13" s="526" t="s">
        <v>138</v>
      </c>
      <c r="J13" s="527"/>
      <c r="K13" s="469"/>
      <c r="Y13" s="496">
        <v>16</v>
      </c>
      <c r="Z13" s="496" t="s">
        <v>119</v>
      </c>
      <c r="AA13" s="496">
        <v>1</v>
      </c>
      <c r="AB13" s="496">
        <v>1100</v>
      </c>
      <c r="AC13" s="496"/>
      <c r="AF13" s="496">
        <v>9</v>
      </c>
      <c r="AG13" s="496">
        <v>1.52</v>
      </c>
      <c r="AH13" s="496">
        <v>32</v>
      </c>
      <c r="AI13" s="496">
        <v>5.09</v>
      </c>
      <c r="AN13" s="469"/>
      <c r="AO13" s="469"/>
      <c r="AP13" s="469"/>
    </row>
    <row r="14" spans="2:42" ht="12.75">
      <c r="B14" s="495" t="s">
        <v>52</v>
      </c>
      <c r="C14" s="495" t="s">
        <v>117</v>
      </c>
      <c r="D14" s="495" t="s">
        <v>118</v>
      </c>
      <c r="E14" s="495" t="s">
        <v>2</v>
      </c>
      <c r="G14" s="529"/>
      <c r="H14" s="524"/>
      <c r="I14" s="524"/>
      <c r="J14" s="530"/>
      <c r="K14" s="469"/>
      <c r="L14" s="533" t="s">
        <v>94</v>
      </c>
      <c r="M14" s="526"/>
      <c r="N14" s="526" t="s">
        <v>115</v>
      </c>
      <c r="O14" s="527">
        <v>23</v>
      </c>
      <c r="Q14" s="525" t="s">
        <v>129</v>
      </c>
      <c r="R14" s="526"/>
      <c r="S14" s="526" t="s">
        <v>140</v>
      </c>
      <c r="T14" s="527"/>
      <c r="AF14" s="496">
        <v>10</v>
      </c>
      <c r="AG14" s="496">
        <v>1.54</v>
      </c>
      <c r="AH14" s="496">
        <v>38</v>
      </c>
      <c r="AI14" s="496">
        <v>7.21</v>
      </c>
      <c r="AN14" s="469"/>
      <c r="AO14" s="469"/>
      <c r="AP14" s="469"/>
    </row>
    <row r="15" spans="2:42" ht="12.75">
      <c r="B15" s="496">
        <v>55</v>
      </c>
      <c r="C15" s="496">
        <v>7</v>
      </c>
      <c r="D15" s="496">
        <v>14</v>
      </c>
      <c r="E15" s="496">
        <v>330</v>
      </c>
      <c r="F15" s="532"/>
      <c r="G15" s="495" t="s">
        <v>52</v>
      </c>
      <c r="H15" s="495" t="s">
        <v>117</v>
      </c>
      <c r="I15" s="495" t="s">
        <v>118</v>
      </c>
      <c r="J15" s="495" t="s">
        <v>2</v>
      </c>
      <c r="K15" s="469"/>
      <c r="L15" s="529"/>
      <c r="N15" s="524" t="s">
        <v>116</v>
      </c>
      <c r="O15" s="530">
        <v>2.7</v>
      </c>
      <c r="Q15" s="529"/>
      <c r="T15" s="530"/>
      <c r="Y15" s="525" t="s">
        <v>244</v>
      </c>
      <c r="Z15" s="526"/>
      <c r="AA15" s="526" t="s">
        <v>141</v>
      </c>
      <c r="AB15" s="527"/>
      <c r="AF15" s="496">
        <v>11</v>
      </c>
      <c r="AG15" s="496">
        <v>1.57</v>
      </c>
      <c r="AH15" s="496">
        <v>40</v>
      </c>
      <c r="AI15" s="496">
        <v>7.99</v>
      </c>
      <c r="AN15" s="469"/>
      <c r="AO15" s="469"/>
      <c r="AP15" s="469"/>
    </row>
    <row r="16" spans="2:42" ht="12.75">
      <c r="B16" s="496">
        <v>46.1</v>
      </c>
      <c r="C16" s="496">
        <v>5</v>
      </c>
      <c r="D16" s="496">
        <v>10</v>
      </c>
      <c r="E16" s="496">
        <v>300</v>
      </c>
      <c r="G16" s="496">
        <v>110</v>
      </c>
      <c r="H16" s="496">
        <v>7</v>
      </c>
      <c r="I16" s="496">
        <v>14</v>
      </c>
      <c r="J16" s="496">
        <v>1240</v>
      </c>
      <c r="K16" s="469"/>
      <c r="L16" s="495" t="s">
        <v>52</v>
      </c>
      <c r="M16" s="495" t="s">
        <v>117</v>
      </c>
      <c r="N16" s="495" t="s">
        <v>118</v>
      </c>
      <c r="O16" s="495" t="s">
        <v>2</v>
      </c>
      <c r="Q16" s="495" t="s">
        <v>52</v>
      </c>
      <c r="R16" s="495" t="s">
        <v>117</v>
      </c>
      <c r="S16" s="495" t="s">
        <v>118</v>
      </c>
      <c r="T16" s="495" t="s">
        <v>2</v>
      </c>
      <c r="U16" s="532"/>
      <c r="V16" s="532"/>
      <c r="W16" s="532"/>
      <c r="X16" s="532"/>
      <c r="Y16" s="529"/>
      <c r="AB16" s="530"/>
      <c r="AF16" s="496">
        <v>12</v>
      </c>
      <c r="AG16" s="496">
        <v>1.6</v>
      </c>
      <c r="AH16" s="496">
        <v>52</v>
      </c>
      <c r="AI16" s="496">
        <v>13.5</v>
      </c>
      <c r="AN16" s="469"/>
      <c r="AO16" s="469"/>
      <c r="AP16" s="469"/>
    </row>
    <row r="17" spans="2:42" ht="12.75">
      <c r="B17" s="496">
        <v>30.2</v>
      </c>
      <c r="C17" s="496">
        <v>3</v>
      </c>
      <c r="D17" s="496">
        <v>7</v>
      </c>
      <c r="E17" s="496">
        <v>260</v>
      </c>
      <c r="G17" s="496">
        <v>90.2</v>
      </c>
      <c r="H17" s="496">
        <v>5</v>
      </c>
      <c r="I17" s="496">
        <v>11</v>
      </c>
      <c r="J17" s="496">
        <v>900</v>
      </c>
      <c r="K17" s="469"/>
      <c r="L17" s="496">
        <v>152</v>
      </c>
      <c r="M17" s="496">
        <v>9</v>
      </c>
      <c r="N17" s="496">
        <v>16</v>
      </c>
      <c r="O17" s="496">
        <v>2000</v>
      </c>
      <c r="Q17" s="496">
        <v>238.6</v>
      </c>
      <c r="R17" s="496">
        <v>11</v>
      </c>
      <c r="S17" s="496">
        <v>22</v>
      </c>
      <c r="T17" s="496">
        <v>3700</v>
      </c>
      <c r="Y17" s="495" t="s">
        <v>52</v>
      </c>
      <c r="Z17" s="495" t="s">
        <v>117</v>
      </c>
      <c r="AA17" s="495" t="s">
        <v>118</v>
      </c>
      <c r="AB17" s="495" t="s">
        <v>2</v>
      </c>
      <c r="AF17" s="496">
        <v>13</v>
      </c>
      <c r="AG17" s="496">
        <v>1.63</v>
      </c>
      <c r="AN17" s="469"/>
      <c r="AO17" s="469"/>
      <c r="AP17" s="469"/>
    </row>
    <row r="18" spans="2:42" ht="12.75">
      <c r="B18" s="496">
        <v>13.3</v>
      </c>
      <c r="C18" s="496">
        <v>1</v>
      </c>
      <c r="D18" s="496">
        <v>3</v>
      </c>
      <c r="E18" s="496">
        <v>180</v>
      </c>
      <c r="G18" s="496">
        <v>59.1</v>
      </c>
      <c r="H18" s="496">
        <v>3</v>
      </c>
      <c r="I18" s="496">
        <v>7</v>
      </c>
      <c r="J18" s="496">
        <v>700</v>
      </c>
      <c r="K18" s="469"/>
      <c r="L18" s="496">
        <v>142.6</v>
      </c>
      <c r="M18" s="496">
        <v>7</v>
      </c>
      <c r="N18" s="496">
        <v>15</v>
      </c>
      <c r="O18" s="496">
        <v>1500</v>
      </c>
      <c r="Q18" s="496">
        <v>201</v>
      </c>
      <c r="R18" s="496">
        <v>9</v>
      </c>
      <c r="S18" s="496">
        <v>18</v>
      </c>
      <c r="T18" s="496">
        <v>3300</v>
      </c>
      <c r="Y18" s="496">
        <v>151</v>
      </c>
      <c r="Z18" s="496">
        <v>9</v>
      </c>
      <c r="AA18" s="496">
        <v>16</v>
      </c>
      <c r="AB18" s="496">
        <v>2000</v>
      </c>
      <c r="AF18" s="496">
        <v>14</v>
      </c>
      <c r="AG18" s="496">
        <v>1.65</v>
      </c>
      <c r="AN18" s="469"/>
      <c r="AO18" s="469"/>
      <c r="AP18" s="469"/>
    </row>
    <row r="19" spans="2:42" ht="12.75">
      <c r="B19" s="496">
        <v>4.5</v>
      </c>
      <c r="C19" s="496" t="s">
        <v>119</v>
      </c>
      <c r="D19" s="496">
        <v>1</v>
      </c>
      <c r="E19" s="496">
        <v>75</v>
      </c>
      <c r="G19" s="496">
        <v>26.1</v>
      </c>
      <c r="H19" s="496">
        <v>1</v>
      </c>
      <c r="I19" s="496">
        <v>3</v>
      </c>
      <c r="J19" s="496">
        <v>450</v>
      </c>
      <c r="K19" s="469"/>
      <c r="L19" s="496">
        <v>107.7</v>
      </c>
      <c r="M19" s="496">
        <v>5</v>
      </c>
      <c r="N19" s="496">
        <v>11</v>
      </c>
      <c r="O19" s="496">
        <v>1300</v>
      </c>
      <c r="Q19" s="496">
        <v>171</v>
      </c>
      <c r="R19" s="496">
        <v>7</v>
      </c>
      <c r="S19" s="496">
        <v>14</v>
      </c>
      <c r="T19" s="496">
        <v>2700</v>
      </c>
      <c r="Y19" s="496">
        <v>142.6</v>
      </c>
      <c r="Z19" s="496">
        <v>7</v>
      </c>
      <c r="AA19" s="496">
        <v>15</v>
      </c>
      <c r="AB19" s="496">
        <v>1500</v>
      </c>
      <c r="AF19" s="496">
        <v>15</v>
      </c>
      <c r="AG19" s="496">
        <v>1.68</v>
      </c>
      <c r="AN19" s="469"/>
      <c r="AO19" s="469"/>
      <c r="AP19" s="469"/>
    </row>
    <row r="20" spans="2:42" ht="12.75">
      <c r="G20" s="496">
        <v>8.8000000000000007</v>
      </c>
      <c r="H20" s="496" t="s">
        <v>119</v>
      </c>
      <c r="I20" s="496">
        <v>1</v>
      </c>
      <c r="J20" s="496">
        <v>250</v>
      </c>
      <c r="K20" s="469"/>
      <c r="L20" s="496">
        <v>70.599999999999994</v>
      </c>
      <c r="M20" s="496">
        <v>3</v>
      </c>
      <c r="N20" s="496">
        <v>7</v>
      </c>
      <c r="O20" s="496">
        <v>1040</v>
      </c>
      <c r="Q20" s="496">
        <v>129.19999999999999</v>
      </c>
      <c r="R20" s="496">
        <v>5</v>
      </c>
      <c r="S20" s="496">
        <v>10</v>
      </c>
      <c r="T20" s="496">
        <v>2300</v>
      </c>
      <c r="Y20" s="496">
        <v>107.7</v>
      </c>
      <c r="Z20" s="496">
        <v>5</v>
      </c>
      <c r="AA20" s="496">
        <v>11</v>
      </c>
      <c r="AB20" s="496">
        <v>1300</v>
      </c>
      <c r="AF20" s="496">
        <v>16</v>
      </c>
      <c r="AG20" s="496">
        <v>1.71</v>
      </c>
      <c r="AN20" s="469"/>
      <c r="AO20" s="469"/>
      <c r="AP20" s="469"/>
    </row>
    <row r="21" spans="2:42" ht="12.75">
      <c r="B21" s="525" t="s">
        <v>122</v>
      </c>
      <c r="C21" s="526"/>
      <c r="D21" s="526" t="s">
        <v>136</v>
      </c>
      <c r="E21" s="527"/>
      <c r="G21" s="524"/>
      <c r="H21" s="524"/>
      <c r="I21" s="524"/>
      <c r="J21" s="524"/>
      <c r="K21" s="469"/>
      <c r="L21" s="496">
        <v>31.2</v>
      </c>
      <c r="M21" s="496">
        <v>1</v>
      </c>
      <c r="N21" s="496">
        <v>3</v>
      </c>
      <c r="O21" s="496">
        <v>840</v>
      </c>
      <c r="Q21" s="496">
        <v>84.7</v>
      </c>
      <c r="R21" s="496">
        <v>3</v>
      </c>
      <c r="S21" s="496">
        <v>6</v>
      </c>
      <c r="T21" s="496">
        <v>1800</v>
      </c>
      <c r="Y21" s="496">
        <v>70.599999999999994</v>
      </c>
      <c r="Z21" s="496">
        <v>3</v>
      </c>
      <c r="AA21" s="496">
        <v>7</v>
      </c>
      <c r="AB21" s="496">
        <v>1040</v>
      </c>
      <c r="AF21" s="496">
        <v>17</v>
      </c>
      <c r="AG21" s="496">
        <v>1.74</v>
      </c>
      <c r="AN21" s="469"/>
      <c r="AO21" s="469"/>
      <c r="AP21" s="469"/>
    </row>
    <row r="22" spans="2:42" ht="12.75">
      <c r="B22" s="529"/>
      <c r="E22" s="530"/>
      <c r="G22" s="525" t="s">
        <v>243</v>
      </c>
      <c r="H22" s="526"/>
      <c r="I22" s="526" t="s">
        <v>138</v>
      </c>
      <c r="J22" s="527"/>
      <c r="K22" s="469"/>
      <c r="L22" s="496">
        <v>10.5</v>
      </c>
      <c r="M22" s="496" t="s">
        <v>119</v>
      </c>
      <c r="N22" s="496">
        <v>1</v>
      </c>
      <c r="O22" s="496">
        <v>500</v>
      </c>
      <c r="Q22" s="496">
        <v>37.4</v>
      </c>
      <c r="R22" s="496">
        <v>1</v>
      </c>
      <c r="S22" s="496">
        <v>3</v>
      </c>
      <c r="T22" s="496">
        <v>1400</v>
      </c>
      <c r="Y22" s="496">
        <v>31.2</v>
      </c>
      <c r="Z22" s="496">
        <v>1</v>
      </c>
      <c r="AA22" s="496">
        <v>3</v>
      </c>
      <c r="AB22" s="496">
        <v>840</v>
      </c>
      <c r="AF22" s="496">
        <v>18</v>
      </c>
      <c r="AG22" s="496">
        <v>1.77</v>
      </c>
      <c r="AN22" s="469"/>
      <c r="AO22" s="469"/>
      <c r="AP22" s="469"/>
    </row>
    <row r="23" spans="2:42" ht="12.75">
      <c r="B23" s="495" t="s">
        <v>52</v>
      </c>
      <c r="C23" s="495" t="s">
        <v>117</v>
      </c>
      <c r="D23" s="495" t="s">
        <v>118</v>
      </c>
      <c r="E23" s="495" t="s">
        <v>2</v>
      </c>
      <c r="G23" s="529"/>
      <c r="H23" s="524"/>
      <c r="I23" s="524"/>
      <c r="J23" s="530"/>
      <c r="K23" s="469"/>
      <c r="L23" s="469"/>
      <c r="M23" s="469"/>
      <c r="N23" s="469"/>
      <c r="O23" s="469"/>
      <c r="Q23" s="496">
        <v>12.5</v>
      </c>
      <c r="R23" s="496" t="s">
        <v>119</v>
      </c>
      <c r="S23" s="496">
        <v>1</v>
      </c>
      <c r="T23" s="499">
        <v>600</v>
      </c>
      <c r="U23" s="469"/>
      <c r="V23" s="469"/>
      <c r="W23" s="469"/>
      <c r="Y23" s="496">
        <v>10.3</v>
      </c>
      <c r="Z23" s="496" t="s">
        <v>119</v>
      </c>
      <c r="AA23" s="496">
        <v>1</v>
      </c>
      <c r="AB23" s="496">
        <v>500</v>
      </c>
      <c r="AF23" s="496">
        <v>19</v>
      </c>
      <c r="AG23" s="496">
        <v>1.8</v>
      </c>
      <c r="AN23" s="469"/>
      <c r="AO23" s="469"/>
      <c r="AP23" s="469"/>
    </row>
    <row r="24" spans="2:42" ht="12.75">
      <c r="B24" s="496">
        <v>70</v>
      </c>
      <c r="C24" s="496">
        <v>7</v>
      </c>
      <c r="D24" s="496">
        <v>14</v>
      </c>
      <c r="E24" s="496">
        <v>500</v>
      </c>
      <c r="G24" s="495" t="s">
        <v>52</v>
      </c>
      <c r="H24" s="495" t="s">
        <v>117</v>
      </c>
      <c r="I24" s="495" t="s">
        <v>118</v>
      </c>
      <c r="J24" s="495" t="s">
        <v>2</v>
      </c>
      <c r="K24" s="469"/>
      <c r="L24" s="533" t="s">
        <v>252</v>
      </c>
      <c r="M24" s="526"/>
      <c r="N24" s="526" t="s">
        <v>115</v>
      </c>
      <c r="O24" s="527">
        <v>23</v>
      </c>
      <c r="Q24" s="469"/>
      <c r="R24" s="469"/>
      <c r="S24" s="469"/>
      <c r="T24" s="469"/>
      <c r="U24" s="469"/>
      <c r="V24" s="469"/>
      <c r="W24" s="469"/>
      <c r="AF24" s="496">
        <v>20</v>
      </c>
      <c r="AG24" s="496">
        <v>1.83</v>
      </c>
      <c r="AN24" s="469"/>
      <c r="AO24" s="469"/>
      <c r="AP24" s="469"/>
    </row>
    <row r="25" spans="2:42" ht="12.75">
      <c r="B25" s="496">
        <v>58.4</v>
      </c>
      <c r="C25" s="496">
        <v>5</v>
      </c>
      <c r="D25" s="496">
        <v>11</v>
      </c>
      <c r="E25" s="496">
        <v>500</v>
      </c>
      <c r="G25" s="496">
        <v>116.9</v>
      </c>
      <c r="H25" s="496">
        <v>7</v>
      </c>
      <c r="I25" s="496">
        <v>14</v>
      </c>
      <c r="J25" s="496">
        <v>1240</v>
      </c>
      <c r="K25" s="469"/>
      <c r="L25" s="534" t="s">
        <v>279</v>
      </c>
      <c r="N25" s="524" t="s">
        <v>116</v>
      </c>
      <c r="O25" s="530">
        <v>2.7</v>
      </c>
      <c r="Q25" s="525" t="s">
        <v>130</v>
      </c>
      <c r="R25" s="526"/>
      <c r="S25" s="526" t="s">
        <v>140</v>
      </c>
      <c r="T25" s="527"/>
      <c r="Y25" s="525" t="s">
        <v>288</v>
      </c>
      <c r="Z25" s="526"/>
      <c r="AA25" s="526" t="s">
        <v>141</v>
      </c>
      <c r="AB25" s="527"/>
      <c r="AF25" s="496">
        <v>21</v>
      </c>
      <c r="AG25" s="496">
        <v>1.87</v>
      </c>
      <c r="AN25" s="469"/>
      <c r="AO25" s="469"/>
      <c r="AP25" s="469"/>
    </row>
    <row r="26" spans="2:42" ht="12.75">
      <c r="B26" s="496">
        <v>38.299999999999997</v>
      </c>
      <c r="C26" s="496">
        <v>3</v>
      </c>
      <c r="D26" s="496">
        <v>7</v>
      </c>
      <c r="E26" s="496">
        <v>450</v>
      </c>
      <c r="F26" s="532"/>
      <c r="G26" s="496">
        <v>86</v>
      </c>
      <c r="H26" s="496">
        <v>5</v>
      </c>
      <c r="I26" s="496">
        <v>10</v>
      </c>
      <c r="J26" s="496">
        <v>900</v>
      </c>
      <c r="K26" s="469"/>
      <c r="L26" s="535" t="s">
        <v>52</v>
      </c>
      <c r="M26" s="495" t="s">
        <v>117</v>
      </c>
      <c r="N26" s="495" t="s">
        <v>118</v>
      </c>
      <c r="O26" s="495" t="s">
        <v>2</v>
      </c>
      <c r="Q26" s="529"/>
      <c r="T26" s="530"/>
      <c r="X26" s="532"/>
      <c r="Y26" s="529"/>
      <c r="AB26" s="530"/>
      <c r="AF26" s="496">
        <v>22</v>
      </c>
      <c r="AG26" s="496">
        <v>1.9</v>
      </c>
      <c r="AN26" s="469"/>
      <c r="AO26" s="469"/>
      <c r="AP26" s="469"/>
    </row>
    <row r="27" spans="2:42" ht="12.75">
      <c r="B27" s="496">
        <v>16</v>
      </c>
      <c r="C27" s="496">
        <v>1</v>
      </c>
      <c r="D27" s="496">
        <v>3</v>
      </c>
      <c r="E27" s="496">
        <v>275</v>
      </c>
      <c r="G27" s="496">
        <v>61.6</v>
      </c>
      <c r="H27" s="496">
        <v>3</v>
      </c>
      <c r="I27" s="496">
        <v>7</v>
      </c>
      <c r="J27" s="496">
        <v>700</v>
      </c>
      <c r="K27" s="469"/>
      <c r="L27" s="496">
        <v>151</v>
      </c>
      <c r="M27" s="496">
        <v>9</v>
      </c>
      <c r="N27" s="496">
        <v>16</v>
      </c>
      <c r="O27" s="496">
        <v>1900</v>
      </c>
      <c r="Q27" s="495" t="s">
        <v>52</v>
      </c>
      <c r="R27" s="495" t="s">
        <v>117</v>
      </c>
      <c r="S27" s="495" t="s">
        <v>118</v>
      </c>
      <c r="T27" s="495" t="s">
        <v>2</v>
      </c>
      <c r="Y27" s="495" t="s">
        <v>52</v>
      </c>
      <c r="Z27" s="495" t="s">
        <v>117</v>
      </c>
      <c r="AA27" s="495" t="s">
        <v>118</v>
      </c>
      <c r="AB27" s="495" t="s">
        <v>2</v>
      </c>
      <c r="AF27" s="496">
        <v>23</v>
      </c>
      <c r="AG27" s="496">
        <v>1.93</v>
      </c>
      <c r="AN27" s="469"/>
      <c r="AO27" s="469"/>
      <c r="AP27" s="469"/>
    </row>
    <row r="28" spans="2:42" ht="12.75">
      <c r="B28" s="496">
        <v>5.7</v>
      </c>
      <c r="C28" s="496" t="s">
        <v>119</v>
      </c>
      <c r="D28" s="496">
        <v>1</v>
      </c>
      <c r="E28" s="496">
        <v>110</v>
      </c>
      <c r="G28" s="496">
        <v>27.2</v>
      </c>
      <c r="H28" s="496">
        <v>1</v>
      </c>
      <c r="I28" s="496">
        <v>3</v>
      </c>
      <c r="J28" s="496">
        <v>450</v>
      </c>
      <c r="K28" s="469"/>
      <c r="L28" s="496">
        <v>142.6</v>
      </c>
      <c r="M28" s="496">
        <v>7</v>
      </c>
      <c r="N28" s="496">
        <v>15</v>
      </c>
      <c r="O28" s="496">
        <v>1700</v>
      </c>
      <c r="Q28" s="496">
        <v>274.10000000000002</v>
      </c>
      <c r="R28" s="496">
        <v>13</v>
      </c>
      <c r="S28" s="496">
        <v>27</v>
      </c>
      <c r="T28" s="496">
        <v>6100</v>
      </c>
      <c r="Y28" s="496">
        <v>100</v>
      </c>
      <c r="Z28" s="496">
        <v>7</v>
      </c>
      <c r="AA28" s="496"/>
      <c r="AB28" s="496">
        <v>760</v>
      </c>
      <c r="AF28" s="496">
        <v>24</v>
      </c>
      <c r="AG28" s="496">
        <v>1.96</v>
      </c>
      <c r="AN28" s="469"/>
      <c r="AO28" s="469"/>
      <c r="AP28" s="469"/>
    </row>
    <row r="29" spans="2:42" ht="12.75">
      <c r="G29" s="496">
        <v>9.1999999999999993</v>
      </c>
      <c r="H29" s="496" t="s">
        <v>119</v>
      </c>
      <c r="I29" s="496">
        <v>1</v>
      </c>
      <c r="J29" s="496">
        <v>350</v>
      </c>
      <c r="K29" s="469"/>
      <c r="L29" s="496">
        <v>107.7</v>
      </c>
      <c r="M29" s="496">
        <v>5</v>
      </c>
      <c r="N29" s="496">
        <v>11</v>
      </c>
      <c r="O29" s="496">
        <v>1650</v>
      </c>
      <c r="Q29" s="496">
        <v>247.7</v>
      </c>
      <c r="R29" s="496">
        <v>11</v>
      </c>
      <c r="S29" s="496">
        <v>23</v>
      </c>
      <c r="T29" s="496">
        <v>3700</v>
      </c>
      <c r="Y29" s="496">
        <v>64.599999999999994</v>
      </c>
      <c r="Z29" s="496">
        <v>5</v>
      </c>
      <c r="AA29" s="496"/>
      <c r="AB29" s="496">
        <v>530</v>
      </c>
      <c r="AN29" s="469"/>
      <c r="AO29" s="469"/>
      <c r="AP29" s="469"/>
    </row>
    <row r="30" spans="2:42" ht="12.75">
      <c r="B30" s="525" t="s">
        <v>123</v>
      </c>
      <c r="C30" s="526"/>
      <c r="D30" s="526" t="s">
        <v>136</v>
      </c>
      <c r="E30" s="527"/>
      <c r="G30" s="524"/>
      <c r="H30" s="524"/>
      <c r="I30" s="524"/>
      <c r="J30" s="524"/>
      <c r="K30" s="469"/>
      <c r="L30" s="496">
        <v>70.599999999999994</v>
      </c>
      <c r="M30" s="496">
        <v>3</v>
      </c>
      <c r="N30" s="496">
        <v>7</v>
      </c>
      <c r="O30" s="496">
        <v>1450</v>
      </c>
      <c r="Q30" s="496">
        <v>171.1</v>
      </c>
      <c r="R30" s="496">
        <v>7</v>
      </c>
      <c r="S30" s="496">
        <v>15</v>
      </c>
      <c r="T30" s="496">
        <v>2700</v>
      </c>
      <c r="Y30" s="496">
        <v>42.3</v>
      </c>
      <c r="Z30" s="496">
        <v>3</v>
      </c>
      <c r="AA30" s="496"/>
      <c r="AB30" s="496">
        <v>450</v>
      </c>
      <c r="AF30" s="536" t="s">
        <v>153</v>
      </c>
      <c r="AN30" s="469"/>
      <c r="AO30" s="469"/>
      <c r="AP30" s="469"/>
    </row>
    <row r="31" spans="2:42" ht="12.75">
      <c r="B31" s="529"/>
      <c r="E31" s="530"/>
      <c r="G31" s="525" t="s">
        <v>125</v>
      </c>
      <c r="H31" s="526"/>
      <c r="I31" s="526" t="s">
        <v>138</v>
      </c>
      <c r="J31" s="527"/>
      <c r="K31" s="469"/>
      <c r="L31" s="496">
        <v>31.2</v>
      </c>
      <c r="M31" s="496">
        <v>1</v>
      </c>
      <c r="N31" s="496">
        <v>3</v>
      </c>
      <c r="O31" s="496">
        <v>840</v>
      </c>
      <c r="Q31" s="496">
        <v>84.7</v>
      </c>
      <c r="R31" s="496">
        <v>3</v>
      </c>
      <c r="S31" s="496">
        <v>7</v>
      </c>
      <c r="T31" s="496">
        <v>2600</v>
      </c>
      <c r="Y31" s="496">
        <v>18.7</v>
      </c>
      <c r="Z31" s="496">
        <v>1</v>
      </c>
      <c r="AA31" s="496"/>
      <c r="AB31" s="496">
        <v>300</v>
      </c>
      <c r="AN31" s="469"/>
      <c r="AO31" s="469"/>
      <c r="AP31" s="469"/>
    </row>
    <row r="32" spans="2:42" ht="12.75">
      <c r="B32" s="495" t="s">
        <v>52</v>
      </c>
      <c r="C32" s="495" t="s">
        <v>117</v>
      </c>
      <c r="D32" s="495" t="s">
        <v>118</v>
      </c>
      <c r="E32" s="495" t="s">
        <v>2</v>
      </c>
      <c r="G32" s="529"/>
      <c r="H32" s="524"/>
      <c r="I32" s="524"/>
      <c r="J32" s="530"/>
      <c r="K32" s="469"/>
      <c r="L32" s="496">
        <v>10.5</v>
      </c>
      <c r="M32" s="496" t="s">
        <v>119</v>
      </c>
      <c r="N32" s="496">
        <v>1</v>
      </c>
      <c r="O32" s="496">
        <v>500</v>
      </c>
      <c r="Q32" s="496">
        <v>37.4</v>
      </c>
      <c r="R32" s="496">
        <v>1</v>
      </c>
      <c r="S32" s="496">
        <v>3</v>
      </c>
      <c r="T32" s="496">
        <v>1400</v>
      </c>
      <c r="Y32" s="496">
        <v>6.3</v>
      </c>
      <c r="Z32" s="496" t="s">
        <v>119</v>
      </c>
      <c r="AA32" s="496">
        <v>1</v>
      </c>
      <c r="AB32" s="496">
        <v>140</v>
      </c>
      <c r="AF32" s="537" t="s">
        <v>154</v>
      </c>
      <c r="AG32" s="30"/>
      <c r="AH32" s="538" t="s">
        <v>155</v>
      </c>
      <c r="AN32" s="469"/>
      <c r="AO32" s="469"/>
      <c r="AP32" s="469"/>
    </row>
    <row r="33" spans="2:42" ht="12.75">
      <c r="B33" s="496">
        <v>80</v>
      </c>
      <c r="C33" s="496">
        <v>7</v>
      </c>
      <c r="D33" s="496">
        <v>15</v>
      </c>
      <c r="E33" s="496">
        <v>500</v>
      </c>
      <c r="F33" s="469"/>
      <c r="G33" s="495" t="s">
        <v>52</v>
      </c>
      <c r="H33" s="495" t="s">
        <v>117</v>
      </c>
      <c r="I33" s="495" t="s">
        <v>118</v>
      </c>
      <c r="J33" s="495" t="s">
        <v>2</v>
      </c>
      <c r="K33" s="469"/>
      <c r="P33" s="469"/>
      <c r="Q33" s="496">
        <v>12.5</v>
      </c>
      <c r="R33" s="496">
        <v>0</v>
      </c>
      <c r="S33" s="496">
        <v>1</v>
      </c>
      <c r="T33" s="496">
        <v>700</v>
      </c>
      <c r="AF33" s="539" t="s">
        <v>156</v>
      </c>
      <c r="AG33" s="31"/>
      <c r="AN33" s="469"/>
      <c r="AO33" s="469"/>
      <c r="AP33" s="469"/>
    </row>
    <row r="34" spans="2:42" ht="12.75">
      <c r="B34" s="496">
        <v>58.4</v>
      </c>
      <c r="C34" s="496">
        <v>5</v>
      </c>
      <c r="D34" s="496">
        <v>11</v>
      </c>
      <c r="E34" s="496">
        <v>500</v>
      </c>
      <c r="G34" s="496">
        <v>112.3</v>
      </c>
      <c r="H34" s="496">
        <v>7</v>
      </c>
      <c r="I34" s="496">
        <v>14</v>
      </c>
      <c r="J34" s="496">
        <v>1240</v>
      </c>
      <c r="K34" s="469"/>
      <c r="L34" s="525" t="s">
        <v>96</v>
      </c>
      <c r="M34" s="526"/>
      <c r="N34" s="526" t="s">
        <v>141</v>
      </c>
      <c r="O34" s="527"/>
      <c r="Y34" s="525" t="s">
        <v>256</v>
      </c>
      <c r="Z34" s="526"/>
      <c r="AA34" s="526" t="s">
        <v>142</v>
      </c>
      <c r="AB34" s="526"/>
      <c r="AC34" s="526"/>
      <c r="AD34" s="527"/>
      <c r="AF34" s="539" t="s">
        <v>157</v>
      </c>
      <c r="AG34" s="31"/>
      <c r="AN34" s="469"/>
      <c r="AO34" s="469"/>
      <c r="AP34" s="469"/>
    </row>
    <row r="35" spans="2:42" ht="12.75">
      <c r="B35" s="496">
        <v>38.299999999999997</v>
      </c>
      <c r="C35" s="496">
        <v>3</v>
      </c>
      <c r="D35" s="496">
        <v>7</v>
      </c>
      <c r="E35" s="496">
        <v>450</v>
      </c>
      <c r="G35" s="496">
        <v>90.2</v>
      </c>
      <c r="H35" s="496">
        <v>5</v>
      </c>
      <c r="I35" s="496">
        <v>11</v>
      </c>
      <c r="J35" s="496">
        <v>900</v>
      </c>
      <c r="K35" s="469"/>
      <c r="L35" s="529"/>
      <c r="O35" s="530"/>
      <c r="Q35" s="525" t="s">
        <v>238</v>
      </c>
      <c r="R35" s="526"/>
      <c r="S35" s="526" t="s">
        <v>140</v>
      </c>
      <c r="T35" s="527"/>
      <c r="Y35" s="529"/>
      <c r="AD35" s="530"/>
      <c r="AF35" s="539" t="s">
        <v>151</v>
      </c>
      <c r="AG35" s="31"/>
      <c r="AM35" s="469"/>
      <c r="AN35" s="469"/>
      <c r="AO35" s="469"/>
      <c r="AP35" s="469"/>
    </row>
    <row r="36" spans="2:42" ht="12.75">
      <c r="B36" s="496">
        <v>16</v>
      </c>
      <c r="C36" s="496">
        <v>1</v>
      </c>
      <c r="D36" s="496">
        <v>3</v>
      </c>
      <c r="E36" s="496">
        <v>275</v>
      </c>
      <c r="G36" s="496">
        <v>59.1</v>
      </c>
      <c r="H36" s="496">
        <v>3</v>
      </c>
      <c r="I36" s="496">
        <v>7</v>
      </c>
      <c r="J36" s="496">
        <v>700</v>
      </c>
      <c r="K36" s="469"/>
      <c r="L36" s="495" t="s">
        <v>52</v>
      </c>
      <c r="M36" s="495" t="s">
        <v>117</v>
      </c>
      <c r="N36" s="495" t="s">
        <v>118</v>
      </c>
      <c r="O36" s="495" t="s">
        <v>2</v>
      </c>
      <c r="Q36" s="529"/>
      <c r="T36" s="530"/>
      <c r="X36" s="532"/>
      <c r="Y36" s="495" t="s">
        <v>52</v>
      </c>
      <c r="Z36" s="495" t="s">
        <v>117</v>
      </c>
      <c r="AA36" s="495" t="s">
        <v>118</v>
      </c>
      <c r="AB36" s="495" t="s">
        <v>2</v>
      </c>
      <c r="AC36" s="496"/>
      <c r="AD36" s="496"/>
      <c r="AF36" s="539"/>
      <c r="AG36" s="530"/>
      <c r="AM36" s="469"/>
      <c r="AN36" s="469"/>
      <c r="AO36" s="469"/>
      <c r="AP36" s="469"/>
    </row>
    <row r="37" spans="2:42" ht="12.75">
      <c r="B37" s="496">
        <v>5.7</v>
      </c>
      <c r="C37" s="496" t="s">
        <v>119</v>
      </c>
      <c r="D37" s="496">
        <v>1</v>
      </c>
      <c r="E37" s="496">
        <v>110</v>
      </c>
      <c r="G37" s="496">
        <v>26.1</v>
      </c>
      <c r="H37" s="496">
        <v>1</v>
      </c>
      <c r="I37" s="496">
        <v>3</v>
      </c>
      <c r="J37" s="496">
        <v>450</v>
      </c>
      <c r="K37" s="469"/>
      <c r="L37" s="496">
        <v>176</v>
      </c>
      <c r="M37" s="496">
        <v>9</v>
      </c>
      <c r="N37" s="496">
        <v>19</v>
      </c>
      <c r="O37" s="496">
        <v>2000</v>
      </c>
      <c r="Q37" s="495" t="s">
        <v>52</v>
      </c>
      <c r="R37" s="495" t="s">
        <v>117</v>
      </c>
      <c r="S37" s="495" t="s">
        <v>118</v>
      </c>
      <c r="T37" s="495" t="s">
        <v>2</v>
      </c>
      <c r="Y37" s="496">
        <v>300</v>
      </c>
      <c r="Z37" s="496">
        <v>11</v>
      </c>
      <c r="AA37" s="496">
        <v>22</v>
      </c>
      <c r="AB37" s="496">
        <v>3200</v>
      </c>
      <c r="AC37" s="496">
        <v>5500</v>
      </c>
      <c r="AD37" s="496"/>
      <c r="AF37" s="540" t="s">
        <v>158</v>
      </c>
      <c r="AG37" s="541" t="str">
        <f>IF(COUNTBLANK(AG32:AG35)&gt;0,"",AG32*AG33*AG34*AG35)</f>
        <v/>
      </c>
      <c r="AM37" s="469"/>
      <c r="AN37" s="469"/>
      <c r="AO37" s="469"/>
      <c r="AP37" s="469"/>
    </row>
    <row r="38" spans="2:42" ht="12.75">
      <c r="G38" s="496">
        <v>8.8000000000000007</v>
      </c>
      <c r="H38" s="496" t="s">
        <v>119</v>
      </c>
      <c r="I38" s="496">
        <v>1</v>
      </c>
      <c r="J38" s="496">
        <v>250</v>
      </c>
      <c r="K38" s="469"/>
      <c r="L38" s="496">
        <v>143</v>
      </c>
      <c r="M38" s="496">
        <v>7</v>
      </c>
      <c r="N38" s="496">
        <v>15</v>
      </c>
      <c r="O38" s="496">
        <v>1500</v>
      </c>
      <c r="Q38" s="496">
        <v>239</v>
      </c>
      <c r="R38" s="496">
        <v>11</v>
      </c>
      <c r="S38" s="496">
        <v>22</v>
      </c>
      <c r="T38" s="496">
        <v>4600</v>
      </c>
      <c r="Y38" s="496">
        <v>150</v>
      </c>
      <c r="Z38" s="496">
        <v>5</v>
      </c>
      <c r="AA38" s="496">
        <v>11</v>
      </c>
      <c r="AB38" s="496">
        <v>1600</v>
      </c>
      <c r="AC38" s="496">
        <v>2800</v>
      </c>
      <c r="AD38" s="496">
        <v>4000</v>
      </c>
      <c r="AM38" s="469"/>
      <c r="AN38" s="469"/>
      <c r="AO38" s="469"/>
      <c r="AP38" s="469"/>
    </row>
    <row r="39" spans="2:42" ht="12.75">
      <c r="B39" s="525" t="s">
        <v>290</v>
      </c>
      <c r="C39" s="526"/>
      <c r="D39" s="526" t="s">
        <v>136</v>
      </c>
      <c r="E39" s="527"/>
      <c r="G39" s="524"/>
      <c r="H39" s="524"/>
      <c r="I39" s="524"/>
      <c r="J39" s="524"/>
      <c r="K39" s="469"/>
      <c r="L39" s="496">
        <v>108</v>
      </c>
      <c r="M39" s="496">
        <v>5</v>
      </c>
      <c r="N39" s="496">
        <v>10</v>
      </c>
      <c r="O39" s="496">
        <v>1300</v>
      </c>
      <c r="Q39" s="496">
        <v>211</v>
      </c>
      <c r="R39" s="496">
        <v>9</v>
      </c>
      <c r="S39" s="496">
        <v>19</v>
      </c>
      <c r="T39" s="496">
        <v>4200</v>
      </c>
      <c r="Y39" s="496">
        <v>100</v>
      </c>
      <c r="Z39" s="496">
        <v>3</v>
      </c>
      <c r="AA39" s="496">
        <v>7</v>
      </c>
      <c r="AB39" s="496">
        <v>1100</v>
      </c>
      <c r="AC39" s="496">
        <v>2050</v>
      </c>
      <c r="AD39" s="496">
        <v>3000</v>
      </c>
      <c r="AM39" s="469"/>
      <c r="AN39" s="469"/>
      <c r="AO39" s="469"/>
      <c r="AP39" s="469"/>
    </row>
    <row r="40" spans="2:42" ht="12.75">
      <c r="B40" s="529"/>
      <c r="E40" s="530"/>
      <c r="G40" s="525" t="s">
        <v>139</v>
      </c>
      <c r="H40" s="526"/>
      <c r="I40" s="526" t="s">
        <v>140</v>
      </c>
      <c r="J40" s="527"/>
      <c r="K40" s="469"/>
      <c r="L40" s="496">
        <v>71</v>
      </c>
      <c r="M40" s="496">
        <v>3</v>
      </c>
      <c r="N40" s="496">
        <v>6</v>
      </c>
      <c r="O40" s="496">
        <v>1040</v>
      </c>
      <c r="Q40" s="496">
        <v>171</v>
      </c>
      <c r="R40" s="496">
        <v>7</v>
      </c>
      <c r="S40" s="496">
        <v>15</v>
      </c>
      <c r="T40" s="496">
        <v>4000</v>
      </c>
      <c r="Y40" s="496">
        <v>50</v>
      </c>
      <c r="Z40" s="496">
        <v>1</v>
      </c>
      <c r="AA40" s="496">
        <v>3</v>
      </c>
      <c r="AB40" s="496">
        <v>800</v>
      </c>
      <c r="AC40" s="496">
        <v>1600</v>
      </c>
      <c r="AD40" s="496">
        <v>2400</v>
      </c>
      <c r="AM40" s="469"/>
      <c r="AN40" s="469"/>
      <c r="AO40" s="469"/>
      <c r="AP40" s="469"/>
    </row>
    <row r="41" spans="2:42" ht="12.75">
      <c r="B41" s="495" t="s">
        <v>52</v>
      </c>
      <c r="C41" s="495" t="s">
        <v>117</v>
      </c>
      <c r="D41" s="495" t="s">
        <v>118</v>
      </c>
      <c r="E41" s="495" t="s">
        <v>2</v>
      </c>
      <c r="G41" s="529"/>
      <c r="H41" s="524"/>
      <c r="I41" s="524"/>
      <c r="J41" s="530"/>
      <c r="K41" s="469"/>
      <c r="L41" s="496">
        <v>31.2</v>
      </c>
      <c r="M41" s="496">
        <v>1</v>
      </c>
      <c r="N41" s="496">
        <v>3</v>
      </c>
      <c r="O41" s="496">
        <v>840</v>
      </c>
      <c r="Q41" s="496">
        <v>129</v>
      </c>
      <c r="R41" s="496">
        <v>5</v>
      </c>
      <c r="S41" s="496">
        <v>11</v>
      </c>
      <c r="T41" s="496">
        <v>3500</v>
      </c>
      <c r="Y41" s="496">
        <v>16</v>
      </c>
      <c r="Z41" s="496" t="s">
        <v>119</v>
      </c>
      <c r="AA41" s="496">
        <v>1</v>
      </c>
      <c r="AB41" s="496">
        <v>840</v>
      </c>
      <c r="AC41" s="496"/>
      <c r="AD41" s="496"/>
      <c r="AM41" s="469"/>
      <c r="AN41" s="469"/>
      <c r="AO41" s="469"/>
      <c r="AP41" s="469"/>
    </row>
    <row r="42" spans="2:42" ht="12.75">
      <c r="B42" s="496">
        <v>68</v>
      </c>
      <c r="C42" s="496">
        <v>7</v>
      </c>
      <c r="D42" s="496">
        <v>15</v>
      </c>
      <c r="E42" s="496">
        <v>760</v>
      </c>
      <c r="G42" s="495" t="s">
        <v>52</v>
      </c>
      <c r="H42" s="495" t="s">
        <v>117</v>
      </c>
      <c r="I42" s="495" t="s">
        <v>118</v>
      </c>
      <c r="J42" s="495" t="s">
        <v>2</v>
      </c>
      <c r="K42" s="469"/>
      <c r="L42" s="496">
        <v>10.5</v>
      </c>
      <c r="M42" s="496" t="s">
        <v>119</v>
      </c>
      <c r="N42" s="496">
        <v>1</v>
      </c>
      <c r="O42" s="496">
        <v>500</v>
      </c>
      <c r="Q42" s="496">
        <v>85</v>
      </c>
      <c r="R42" s="496">
        <v>3</v>
      </c>
      <c r="S42" s="496">
        <v>7</v>
      </c>
      <c r="T42" s="496">
        <v>3000</v>
      </c>
      <c r="AM42" s="469"/>
      <c r="AN42" s="469"/>
      <c r="AO42" s="469"/>
      <c r="AP42" s="469"/>
    </row>
    <row r="43" spans="2:42" ht="12.75">
      <c r="B43" s="496">
        <v>59.2</v>
      </c>
      <c r="C43" s="496">
        <v>5</v>
      </c>
      <c r="D43" s="496">
        <v>11</v>
      </c>
      <c r="E43" s="496">
        <v>530</v>
      </c>
      <c r="G43" s="496">
        <v>128</v>
      </c>
      <c r="H43" s="496">
        <v>9</v>
      </c>
      <c r="I43" s="496">
        <v>16</v>
      </c>
      <c r="J43" s="496">
        <v>1320</v>
      </c>
      <c r="K43" s="469"/>
      <c r="Q43" s="496">
        <v>37.4</v>
      </c>
      <c r="R43" s="496">
        <v>1</v>
      </c>
      <c r="S43" s="496">
        <v>3</v>
      </c>
      <c r="T43" s="496">
        <v>1750</v>
      </c>
      <c r="X43" s="469"/>
      <c r="AJ43" s="469"/>
      <c r="AK43" s="469"/>
      <c r="AL43" s="469"/>
      <c r="AM43" s="469"/>
      <c r="AN43" s="469"/>
      <c r="AO43" s="469"/>
      <c r="AP43" s="469"/>
    </row>
    <row r="44" spans="2:42" ht="12.75">
      <c r="B44" s="496">
        <v>42.3</v>
      </c>
      <c r="C44" s="496">
        <v>3</v>
      </c>
      <c r="D44" s="496">
        <v>7</v>
      </c>
      <c r="E44" s="496">
        <v>450</v>
      </c>
      <c r="G44" s="496">
        <v>119.5</v>
      </c>
      <c r="H44" s="496">
        <v>7</v>
      </c>
      <c r="I44" s="496">
        <v>15</v>
      </c>
      <c r="J44" s="496">
        <v>1240</v>
      </c>
      <c r="K44" s="469"/>
      <c r="L44" s="525" t="s">
        <v>127</v>
      </c>
      <c r="M44" s="526"/>
      <c r="N44" s="526" t="s">
        <v>141</v>
      </c>
      <c r="O44" s="527"/>
      <c r="Q44" s="496">
        <v>12.5</v>
      </c>
      <c r="R44" s="496"/>
      <c r="S44" s="496">
        <v>1</v>
      </c>
      <c r="T44" s="496">
        <v>700</v>
      </c>
      <c r="AJ44" s="469"/>
      <c r="AK44" s="469"/>
      <c r="AL44" s="469"/>
      <c r="AM44" s="469"/>
      <c r="AN44" s="469"/>
      <c r="AO44" s="469"/>
      <c r="AP44" s="469"/>
    </row>
    <row r="45" spans="2:42" ht="12.75">
      <c r="B45" s="496">
        <v>18.7</v>
      </c>
      <c r="C45" s="496">
        <v>1</v>
      </c>
      <c r="D45" s="496">
        <v>3</v>
      </c>
      <c r="E45" s="496">
        <v>300</v>
      </c>
      <c r="G45" s="496">
        <v>90</v>
      </c>
      <c r="H45" s="496">
        <v>5</v>
      </c>
      <c r="I45" s="496">
        <v>11</v>
      </c>
      <c r="J45" s="496">
        <v>900</v>
      </c>
      <c r="K45" s="469"/>
      <c r="L45" s="529"/>
      <c r="O45" s="530"/>
      <c r="AM45" s="469"/>
      <c r="AN45" s="469"/>
      <c r="AO45" s="469"/>
      <c r="AP45" s="469"/>
    </row>
    <row r="46" spans="2:42" ht="12.75" customHeight="1">
      <c r="B46" s="496">
        <v>6.3</v>
      </c>
      <c r="C46" s="496" t="s">
        <v>119</v>
      </c>
      <c r="D46" s="496">
        <v>1</v>
      </c>
      <c r="E46" s="496">
        <v>140</v>
      </c>
      <c r="G46" s="496">
        <v>59</v>
      </c>
      <c r="H46" s="496">
        <v>3</v>
      </c>
      <c r="I46" s="496">
        <v>7</v>
      </c>
      <c r="J46" s="496">
        <v>700</v>
      </c>
      <c r="K46" s="469"/>
      <c r="L46" s="495" t="s">
        <v>52</v>
      </c>
      <c r="M46" s="495" t="s">
        <v>117</v>
      </c>
      <c r="N46" s="495" t="s">
        <v>118</v>
      </c>
      <c r="O46" s="495" t="s">
        <v>2</v>
      </c>
      <c r="Q46" s="525" t="s">
        <v>131</v>
      </c>
      <c r="R46" s="526"/>
      <c r="S46" s="526" t="s">
        <v>140</v>
      </c>
      <c r="T46" s="526"/>
      <c r="U46" s="526"/>
      <c r="V46" s="526"/>
      <c r="W46" s="527"/>
      <c r="Z46" s="595" t="s">
        <v>816</v>
      </c>
      <c r="AA46" s="596"/>
      <c r="AB46" s="597"/>
      <c r="AC46" s="420"/>
      <c r="AD46" s="420"/>
      <c r="AE46" s="594"/>
      <c r="AF46" s="594"/>
      <c r="AP46" s="469"/>
    </row>
    <row r="47" spans="2:42" ht="12.75">
      <c r="B47" s="469"/>
      <c r="C47" s="469"/>
      <c r="D47" s="469"/>
      <c r="E47" s="469"/>
      <c r="G47" s="496">
        <v>26</v>
      </c>
      <c r="H47" s="496">
        <v>1</v>
      </c>
      <c r="I47" s="496">
        <v>3</v>
      </c>
      <c r="J47" s="496">
        <v>650</v>
      </c>
      <c r="K47" s="469"/>
      <c r="L47" s="496">
        <v>183</v>
      </c>
      <c r="M47" s="496">
        <v>12</v>
      </c>
      <c r="N47" s="496">
        <v>17</v>
      </c>
      <c r="O47" s="496">
        <v>3400</v>
      </c>
      <c r="Q47" s="529"/>
      <c r="W47" s="530"/>
      <c r="X47" s="532"/>
      <c r="Z47" s="598"/>
      <c r="AA47" s="599"/>
      <c r="AB47" s="600"/>
      <c r="AC47" s="420"/>
      <c r="AD47" s="420"/>
      <c r="AE47" s="594"/>
      <c r="AF47" s="594"/>
      <c r="AP47" s="469"/>
    </row>
    <row r="48" spans="2:42" ht="12.75">
      <c r="B48" s="525" t="s">
        <v>137</v>
      </c>
      <c r="C48" s="526"/>
      <c r="D48" s="526" t="s">
        <v>138</v>
      </c>
      <c r="E48" s="527"/>
      <c r="G48" s="496">
        <v>8.8000000000000007</v>
      </c>
      <c r="H48" s="496">
        <v>0</v>
      </c>
      <c r="I48" s="496">
        <v>1</v>
      </c>
      <c r="J48" s="496">
        <v>350</v>
      </c>
      <c r="K48" s="469"/>
      <c r="L48" s="496">
        <v>156</v>
      </c>
      <c r="M48" s="496">
        <v>7</v>
      </c>
      <c r="N48" s="496">
        <v>14</v>
      </c>
      <c r="O48" s="496">
        <v>1500</v>
      </c>
      <c r="Q48" s="495" t="s">
        <v>52</v>
      </c>
      <c r="R48" s="495" t="s">
        <v>117</v>
      </c>
      <c r="S48" s="495" t="s">
        <v>118</v>
      </c>
      <c r="T48" s="495" t="s">
        <v>2</v>
      </c>
      <c r="U48" s="496"/>
      <c r="V48" s="496"/>
      <c r="W48" s="496"/>
      <c r="Z48" s="598"/>
      <c r="AA48" s="599"/>
      <c r="AB48" s="600"/>
      <c r="AC48" s="420"/>
      <c r="AD48" s="420"/>
      <c r="AE48" s="594"/>
      <c r="AF48" s="594"/>
      <c r="AP48" s="469"/>
    </row>
    <row r="49" spans="2:42" ht="12.75">
      <c r="B49" s="529"/>
      <c r="E49" s="530"/>
      <c r="G49" s="469"/>
      <c r="H49" s="469"/>
      <c r="I49" s="469"/>
      <c r="J49" s="469"/>
      <c r="K49" s="469"/>
      <c r="L49" s="496">
        <v>125</v>
      </c>
      <c r="M49" s="496">
        <v>5</v>
      </c>
      <c r="N49" s="496">
        <v>11</v>
      </c>
      <c r="O49" s="496">
        <v>1600</v>
      </c>
      <c r="Q49" s="496">
        <v>269</v>
      </c>
      <c r="R49" s="496">
        <v>11</v>
      </c>
      <c r="S49" s="496">
        <v>22</v>
      </c>
      <c r="T49" s="496">
        <v>5300</v>
      </c>
      <c r="U49" s="496">
        <v>4500</v>
      </c>
      <c r="V49" s="496">
        <v>3700</v>
      </c>
      <c r="W49" s="496"/>
      <c r="Z49" s="598"/>
      <c r="AA49" s="599"/>
      <c r="AB49" s="600"/>
      <c r="AC49" s="420"/>
      <c r="AD49" s="420"/>
      <c r="AE49" s="594"/>
      <c r="AF49" s="594"/>
      <c r="AP49" s="469"/>
    </row>
    <row r="50" spans="2:42" ht="12.75">
      <c r="B50" s="495" t="s">
        <v>52</v>
      </c>
      <c r="C50" s="495" t="s">
        <v>117</v>
      </c>
      <c r="D50" s="495" t="s">
        <v>118</v>
      </c>
      <c r="E50" s="495" t="s">
        <v>2</v>
      </c>
      <c r="G50" s="469"/>
      <c r="H50" s="469"/>
      <c r="I50" s="469"/>
      <c r="J50" s="469"/>
      <c r="K50" s="469"/>
      <c r="L50" s="496">
        <v>80</v>
      </c>
      <c r="M50" s="496">
        <v>3</v>
      </c>
      <c r="N50" s="496">
        <v>7</v>
      </c>
      <c r="O50" s="496">
        <v>1450</v>
      </c>
      <c r="Q50" s="496">
        <v>237</v>
      </c>
      <c r="R50" s="496">
        <v>9</v>
      </c>
      <c r="S50" s="496">
        <v>19</v>
      </c>
      <c r="T50" s="496">
        <v>5000</v>
      </c>
      <c r="U50" s="496">
        <v>4000</v>
      </c>
      <c r="V50" s="496">
        <v>3000</v>
      </c>
      <c r="W50" s="496"/>
      <c r="Z50" s="598"/>
      <c r="AA50" s="599"/>
      <c r="AB50" s="600"/>
      <c r="AC50" s="420"/>
      <c r="AD50" s="420"/>
      <c r="AE50" s="594"/>
      <c r="AF50" s="594"/>
      <c r="AP50" s="469"/>
    </row>
    <row r="51" spans="2:42" ht="12.75">
      <c r="B51" s="496">
        <v>100</v>
      </c>
      <c r="C51" s="496">
        <v>7</v>
      </c>
      <c r="D51" s="496">
        <v>14</v>
      </c>
      <c r="E51" s="496">
        <v>1240</v>
      </c>
      <c r="G51" s="469"/>
      <c r="H51" s="469"/>
      <c r="I51" s="469"/>
      <c r="J51" s="469"/>
      <c r="K51" s="469"/>
      <c r="L51" s="496">
        <v>36.200000000000003</v>
      </c>
      <c r="M51" s="496">
        <v>1</v>
      </c>
      <c r="N51" s="496">
        <v>3</v>
      </c>
      <c r="O51" s="496">
        <v>1000</v>
      </c>
      <c r="Q51" s="496">
        <v>193</v>
      </c>
      <c r="R51" s="496">
        <v>7</v>
      </c>
      <c r="S51" s="496">
        <v>15</v>
      </c>
      <c r="T51" s="496">
        <v>4500</v>
      </c>
      <c r="U51" s="496">
        <v>3900</v>
      </c>
      <c r="V51" s="496">
        <v>3300</v>
      </c>
      <c r="W51" s="496">
        <v>2700</v>
      </c>
      <c r="Z51" s="601"/>
      <c r="AA51" s="602"/>
      <c r="AB51" s="603"/>
      <c r="AC51" s="420"/>
      <c r="AD51" s="420"/>
      <c r="AE51" s="594"/>
      <c r="AF51" s="594"/>
      <c r="AP51" s="469"/>
    </row>
    <row r="52" spans="2:42" ht="12.75">
      <c r="B52" s="496">
        <v>90.2</v>
      </c>
      <c r="C52" s="496">
        <v>5</v>
      </c>
      <c r="D52" s="496">
        <v>10</v>
      </c>
      <c r="E52" s="496">
        <v>700</v>
      </c>
      <c r="G52" s="469"/>
      <c r="H52" s="469"/>
      <c r="I52" s="469"/>
      <c r="J52" s="469"/>
      <c r="K52" s="469"/>
      <c r="L52" s="496">
        <v>12.2</v>
      </c>
      <c r="M52" s="496" t="s">
        <v>119</v>
      </c>
      <c r="N52" s="496">
        <v>1</v>
      </c>
      <c r="O52" s="496">
        <v>500</v>
      </c>
      <c r="Q52" s="496">
        <v>95</v>
      </c>
      <c r="R52" s="496">
        <v>3</v>
      </c>
      <c r="S52" s="496">
        <v>7</v>
      </c>
      <c r="T52" s="496">
        <v>3800</v>
      </c>
      <c r="U52" s="496">
        <v>3200</v>
      </c>
      <c r="V52" s="496">
        <v>2600</v>
      </c>
      <c r="W52" s="496">
        <v>2000</v>
      </c>
      <c r="AP52" s="469"/>
    </row>
    <row r="53" spans="2:42" ht="12.75">
      <c r="B53" s="496">
        <v>59.1</v>
      </c>
      <c r="C53" s="496">
        <v>3</v>
      </c>
      <c r="D53" s="496">
        <v>7</v>
      </c>
      <c r="E53" s="496">
        <v>500</v>
      </c>
      <c r="G53" s="469"/>
      <c r="H53" s="469"/>
      <c r="I53" s="469"/>
      <c r="J53" s="469"/>
      <c r="K53" s="469"/>
      <c r="L53" s="469"/>
      <c r="M53" s="469"/>
      <c r="N53" s="469"/>
      <c r="O53" s="469"/>
      <c r="Q53" s="496">
        <v>42</v>
      </c>
      <c r="R53" s="496">
        <v>1</v>
      </c>
      <c r="S53" s="496">
        <v>3</v>
      </c>
      <c r="T53" s="496">
        <v>2000</v>
      </c>
      <c r="U53" s="496">
        <v>1000</v>
      </c>
      <c r="V53" s="496"/>
      <c r="W53" s="496"/>
      <c r="AP53" s="469"/>
    </row>
    <row r="54" spans="2:42" ht="12.75">
      <c r="B54" s="496">
        <v>26.1</v>
      </c>
      <c r="C54" s="496">
        <v>1</v>
      </c>
      <c r="D54" s="496">
        <v>3</v>
      </c>
      <c r="E54" s="496">
        <v>450</v>
      </c>
      <c r="G54" s="469"/>
      <c r="H54" s="469"/>
      <c r="I54" s="469"/>
      <c r="J54" s="469"/>
      <c r="K54" s="469"/>
      <c r="L54" s="469"/>
      <c r="M54" s="469"/>
      <c r="N54" s="469"/>
      <c r="O54" s="469"/>
      <c r="Q54" s="496">
        <v>14</v>
      </c>
      <c r="R54" s="496" t="s">
        <v>119</v>
      </c>
      <c r="S54" s="496">
        <v>1</v>
      </c>
      <c r="T54" s="496">
        <v>700</v>
      </c>
      <c r="U54" s="496"/>
      <c r="V54" s="496"/>
      <c r="W54" s="496"/>
      <c r="AP54" s="469"/>
    </row>
    <row r="55" spans="2:42" ht="12.75">
      <c r="B55" s="496">
        <v>8.8000000000000007</v>
      </c>
      <c r="C55" s="496" t="s">
        <v>119</v>
      </c>
      <c r="D55" s="496">
        <v>1</v>
      </c>
      <c r="E55" s="496">
        <v>250</v>
      </c>
      <c r="G55" s="469"/>
      <c r="H55" s="469"/>
      <c r="I55" s="469"/>
      <c r="J55" s="469"/>
      <c r="K55" s="469"/>
      <c r="L55" s="469"/>
      <c r="M55" s="469"/>
      <c r="N55" s="469"/>
      <c r="O55" s="469"/>
      <c r="AP55" s="469"/>
    </row>
    <row r="56" spans="2:42" ht="12.75">
      <c r="G56" s="469"/>
      <c r="H56" s="469"/>
      <c r="I56" s="469"/>
      <c r="J56" s="469"/>
      <c r="K56" s="469"/>
      <c r="L56" s="469"/>
      <c r="M56" s="469"/>
      <c r="N56" s="469"/>
      <c r="O56" s="469"/>
    </row>
    <row r="57" spans="2:42">
      <c r="B57" s="572" t="s">
        <v>809</v>
      </c>
      <c r="C57" s="469"/>
      <c r="D57" s="469"/>
      <c r="E57" s="469"/>
      <c r="G57" s="469"/>
      <c r="H57" s="469"/>
      <c r="I57" s="469"/>
      <c r="J57" s="469"/>
      <c r="K57" s="469"/>
      <c r="L57" s="469"/>
      <c r="M57" s="469"/>
      <c r="N57" s="469"/>
      <c r="O57" s="469"/>
    </row>
    <row r="58" spans="2:42">
      <c r="B58" s="572" t="s">
        <v>810</v>
      </c>
      <c r="C58" s="469"/>
      <c r="D58" s="469"/>
      <c r="E58" s="469"/>
      <c r="G58" s="469"/>
      <c r="H58" s="469"/>
      <c r="I58" s="469"/>
      <c r="J58" s="469"/>
      <c r="K58" s="469"/>
      <c r="L58" s="469"/>
      <c r="M58" s="469"/>
      <c r="N58" s="469"/>
      <c r="O58" s="469"/>
    </row>
    <row r="59" spans="2:42">
      <c r="B59" s="572" t="s">
        <v>811</v>
      </c>
      <c r="C59" s="469"/>
      <c r="D59" s="469"/>
      <c r="E59" s="469"/>
      <c r="G59" s="469"/>
      <c r="H59" s="469"/>
      <c r="I59" s="469"/>
      <c r="J59" s="469"/>
      <c r="K59" s="469"/>
      <c r="L59" s="469"/>
      <c r="M59" s="469"/>
      <c r="N59" s="469"/>
      <c r="O59" s="469"/>
    </row>
    <row r="60" spans="2:42">
      <c r="B60" s="573" t="s">
        <v>812</v>
      </c>
      <c r="C60" s="469"/>
      <c r="D60" s="469"/>
      <c r="E60" s="469"/>
      <c r="G60" s="469"/>
      <c r="H60" s="469"/>
      <c r="I60" s="469"/>
      <c r="J60" s="469"/>
      <c r="K60" s="469"/>
    </row>
    <row r="61" spans="2:42">
      <c r="B61" s="573" t="s">
        <v>813</v>
      </c>
      <c r="C61" s="469"/>
      <c r="D61" s="469"/>
      <c r="E61" s="469"/>
      <c r="G61" s="469"/>
      <c r="H61" s="469"/>
      <c r="I61" s="469"/>
      <c r="J61" s="469"/>
      <c r="K61" s="469"/>
    </row>
    <row r="62" spans="2:42" ht="12.75">
      <c r="B62" s="469"/>
      <c r="C62" s="469"/>
      <c r="D62" s="469"/>
      <c r="E62" s="469"/>
      <c r="G62" s="469"/>
      <c r="H62" s="469"/>
      <c r="I62" s="469"/>
      <c r="J62" s="469"/>
      <c r="K62" s="469"/>
    </row>
    <row r="63" spans="2:42" ht="12.75">
      <c r="B63" s="469"/>
      <c r="C63" s="469"/>
      <c r="D63" s="469"/>
      <c r="E63" s="469"/>
      <c r="G63" s="469"/>
      <c r="H63" s="469"/>
      <c r="I63" s="469"/>
      <c r="J63" s="469"/>
      <c r="K63" s="469"/>
    </row>
    <row r="64" spans="2:42" ht="12.75">
      <c r="B64" s="469"/>
      <c r="C64" s="469"/>
      <c r="D64" s="469"/>
      <c r="E64" s="469"/>
      <c r="G64" s="469"/>
      <c r="H64" s="469"/>
      <c r="I64" s="469"/>
      <c r="J64" s="469"/>
      <c r="K64" s="469"/>
    </row>
    <row r="65" spans="7:11" ht="12.75">
      <c r="G65" s="469"/>
      <c r="H65" s="469"/>
      <c r="I65" s="469"/>
      <c r="J65" s="469"/>
      <c r="K65" s="469"/>
    </row>
    <row r="66" spans="7:11" ht="12.75">
      <c r="G66" s="469"/>
      <c r="H66" s="469"/>
      <c r="I66" s="469"/>
      <c r="J66" s="469"/>
      <c r="K66" s="469"/>
    </row>
    <row r="67" spans="7:11" ht="12.75">
      <c r="G67" s="469"/>
      <c r="H67" s="469"/>
      <c r="I67" s="469"/>
      <c r="J67" s="469"/>
      <c r="K67" s="469"/>
    </row>
    <row r="68" spans="7:11" ht="12.75">
      <c r="G68" s="469"/>
      <c r="H68" s="469"/>
      <c r="I68" s="469"/>
      <c r="J68" s="469"/>
      <c r="K68" s="469"/>
    </row>
    <row r="69" spans="7:11" ht="12.75">
      <c r="G69" s="469"/>
      <c r="H69" s="469"/>
      <c r="I69" s="469"/>
      <c r="J69" s="469"/>
      <c r="K69" s="469"/>
    </row>
    <row r="70" spans="7:11" ht="12.75">
      <c r="G70" s="469"/>
      <c r="H70" s="469"/>
      <c r="I70" s="469"/>
      <c r="J70" s="469"/>
      <c r="K70" s="469"/>
    </row>
    <row r="71" spans="7:11" ht="12.75">
      <c r="G71" s="469"/>
      <c r="H71" s="469"/>
      <c r="I71" s="469"/>
      <c r="J71" s="469"/>
      <c r="K71" s="469"/>
    </row>
    <row r="72" spans="7:11" ht="12.75">
      <c r="G72" s="469"/>
      <c r="H72" s="469"/>
      <c r="I72" s="469"/>
      <c r="J72" s="469"/>
      <c r="K72" s="469"/>
    </row>
  </sheetData>
  <sheetProtection sheet="1" objects="1" scenarios="1" selectLockedCells="1"/>
  <mergeCells count="1">
    <mergeCell ref="Z46:AB51"/>
  </mergeCells>
  <phoneticPr fontId="13" type="noConversion"/>
  <hyperlinks>
    <hyperlink ref="G2" location="Home!A1" display="Home" xr:uid="{FA8E9D55-2A8E-4316-A8C0-9DAE809705B8}"/>
    <hyperlink ref="B60" r:id="rId1" xr:uid="{E4D759D6-30DD-4659-9B8A-A5BF32708D32}"/>
    <hyperlink ref="B61" r:id="rId2" xr:uid="{6583B441-A269-45B8-9DF7-5B6B271E57BB}"/>
  </hyperlinks>
  <pageMargins left="0.25" right="0.25" top="0.75" bottom="0.75" header="0.3" footer="0.3"/>
  <pageSetup paperSize="9" scale="48" orientation="landscape" horizontalDpi="300" verticalDpi="300"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66CB0-0E68-4C73-A025-29FB898C0401}">
  <sheetPr codeName="Sheet29">
    <pageSetUpPr fitToPage="1"/>
  </sheetPr>
  <dimension ref="B2:T35"/>
  <sheetViews>
    <sheetView showGridLines="0" showRowColHeaders="0" zoomScale="85" zoomScaleNormal="85" workbookViewId="0">
      <selection activeCell="G2" sqref="G2"/>
    </sheetView>
  </sheetViews>
  <sheetFormatPr defaultRowHeight="15"/>
  <cols>
    <col min="1" max="1" width="9.140625" style="68"/>
    <col min="2" max="2" width="11.85546875" style="68" customWidth="1"/>
    <col min="3" max="3" width="7.42578125" style="68" customWidth="1"/>
    <col min="4" max="4" width="11.28515625" style="68" customWidth="1"/>
    <col min="5" max="5" width="6.85546875" style="68" customWidth="1"/>
    <col min="6" max="6" width="2.28515625" style="68" customWidth="1"/>
    <col min="7" max="7" width="11.85546875" style="68" customWidth="1"/>
    <col min="8" max="8" width="7.42578125" style="68" customWidth="1"/>
    <col min="9" max="9" width="11.28515625" style="68" customWidth="1"/>
    <col min="10" max="10" width="6.85546875" style="68" customWidth="1"/>
    <col min="11" max="11" width="2.28515625" style="68" customWidth="1"/>
    <col min="12" max="12" width="11.85546875" style="68" customWidth="1"/>
    <col min="13" max="13" width="7.42578125" style="68" customWidth="1"/>
    <col min="14" max="14" width="11.28515625" style="68" customWidth="1"/>
    <col min="15" max="15" width="6.85546875" style="68" customWidth="1"/>
    <col min="16" max="16" width="2.28515625" style="68" customWidth="1"/>
    <col min="17" max="17" width="11.85546875" style="68" customWidth="1"/>
    <col min="18" max="18" width="7.42578125" style="68" customWidth="1"/>
    <col min="19" max="19" width="11.28515625" style="68" customWidth="1"/>
    <col min="20" max="20" width="6.85546875" style="68" customWidth="1"/>
    <col min="21" max="16384" width="9.140625" style="68"/>
  </cols>
  <sheetData>
    <row r="2" spans="2:20" ht="20.25">
      <c r="B2" s="146" t="s">
        <v>625</v>
      </c>
      <c r="G2" s="592" t="s">
        <v>298</v>
      </c>
    </row>
    <row r="3" spans="2:20" ht="12.75" customHeight="1"/>
    <row r="4" spans="2:20" ht="12.75" customHeight="1">
      <c r="B4" s="525" t="s">
        <v>97</v>
      </c>
      <c r="C4" s="526"/>
      <c r="D4" s="526" t="s">
        <v>435</v>
      </c>
      <c r="E4" s="527"/>
      <c r="F4" s="524"/>
      <c r="G4" s="525" t="s">
        <v>100</v>
      </c>
      <c r="H4" s="526"/>
      <c r="I4" s="526" t="s">
        <v>282</v>
      </c>
      <c r="J4" s="527"/>
      <c r="K4" s="524"/>
      <c r="L4" s="525" t="s">
        <v>411</v>
      </c>
      <c r="M4" s="526"/>
      <c r="N4" s="526" t="s">
        <v>138</v>
      </c>
      <c r="O4" s="527"/>
      <c r="P4" s="524"/>
      <c r="Q4" s="525" t="s">
        <v>413</v>
      </c>
      <c r="R4" s="526"/>
      <c r="S4" s="526" t="s">
        <v>141</v>
      </c>
      <c r="T4" s="527"/>
    </row>
    <row r="5" spans="2:20" ht="12.75" customHeight="1">
      <c r="B5" s="529"/>
      <c r="C5" s="524"/>
      <c r="D5" s="524"/>
      <c r="E5" s="530"/>
      <c r="F5" s="524"/>
      <c r="G5" s="529"/>
      <c r="H5" s="524"/>
      <c r="I5" s="524"/>
      <c r="J5" s="530"/>
      <c r="K5" s="524"/>
      <c r="L5" s="529"/>
      <c r="M5" s="524"/>
      <c r="N5" s="524"/>
      <c r="O5" s="530"/>
      <c r="P5" s="524"/>
      <c r="Q5" s="529"/>
      <c r="R5" s="524"/>
      <c r="S5" s="524"/>
      <c r="T5" s="530"/>
    </row>
    <row r="6" spans="2:20" ht="12.75" customHeight="1">
      <c r="B6" s="542" t="s">
        <v>52</v>
      </c>
      <c r="C6" s="543" t="s">
        <v>117</v>
      </c>
      <c r="D6" s="544" t="s">
        <v>118</v>
      </c>
      <c r="E6" s="545" t="s">
        <v>2</v>
      </c>
      <c r="F6" s="524"/>
      <c r="G6" s="542" t="s">
        <v>52</v>
      </c>
      <c r="H6" s="543" t="s">
        <v>117</v>
      </c>
      <c r="I6" s="544" t="s">
        <v>118</v>
      </c>
      <c r="J6" s="545" t="s">
        <v>2</v>
      </c>
      <c r="K6" s="524"/>
      <c r="L6" s="542" t="s">
        <v>52</v>
      </c>
      <c r="M6" s="543" t="s">
        <v>117</v>
      </c>
      <c r="N6" s="544" t="s">
        <v>118</v>
      </c>
      <c r="O6" s="545" t="s">
        <v>2</v>
      </c>
      <c r="P6" s="524"/>
      <c r="Q6" s="542" t="s">
        <v>52</v>
      </c>
      <c r="R6" s="543" t="s">
        <v>117</v>
      </c>
      <c r="S6" s="544" t="s">
        <v>118</v>
      </c>
      <c r="T6" s="545" t="s">
        <v>2</v>
      </c>
    </row>
    <row r="7" spans="2:20" ht="12.75" customHeight="1">
      <c r="B7" s="546">
        <v>60</v>
      </c>
      <c r="C7" s="547">
        <v>5</v>
      </c>
      <c r="D7" s="548">
        <v>11</v>
      </c>
      <c r="E7" s="549">
        <v>430</v>
      </c>
      <c r="F7" s="524"/>
      <c r="G7" s="550">
        <v>80</v>
      </c>
      <c r="H7" s="551">
        <v>7</v>
      </c>
      <c r="I7" s="552">
        <v>14</v>
      </c>
      <c r="J7" s="553">
        <v>850</v>
      </c>
      <c r="K7" s="524"/>
      <c r="L7" s="550">
        <v>125</v>
      </c>
      <c r="M7" s="551">
        <v>7</v>
      </c>
      <c r="N7" s="552">
        <v>15</v>
      </c>
      <c r="O7" s="553">
        <v>1200</v>
      </c>
      <c r="P7" s="524"/>
      <c r="Q7" s="550">
        <v>250</v>
      </c>
      <c r="R7" s="551">
        <v>9</v>
      </c>
      <c r="S7" s="552">
        <v>19</v>
      </c>
      <c r="T7" s="553">
        <v>2700</v>
      </c>
    </row>
    <row r="8" spans="2:20" ht="12.75" customHeight="1">
      <c r="B8" s="554">
        <v>4.5</v>
      </c>
      <c r="C8" s="555" t="s">
        <v>119</v>
      </c>
      <c r="D8" s="556">
        <v>1</v>
      </c>
      <c r="E8" s="557">
        <v>100</v>
      </c>
      <c r="F8" s="524"/>
      <c r="G8" s="550">
        <v>50</v>
      </c>
      <c r="H8" s="551">
        <v>5</v>
      </c>
      <c r="I8" s="552">
        <v>11</v>
      </c>
      <c r="J8" s="553">
        <v>470</v>
      </c>
      <c r="K8" s="524"/>
      <c r="L8" s="550">
        <v>90</v>
      </c>
      <c r="M8" s="551">
        <v>5</v>
      </c>
      <c r="N8" s="552">
        <v>11</v>
      </c>
      <c r="O8" s="553">
        <v>800</v>
      </c>
      <c r="P8" s="524"/>
      <c r="Q8" s="550">
        <v>200</v>
      </c>
      <c r="R8" s="551">
        <v>7</v>
      </c>
      <c r="S8" s="552">
        <v>15</v>
      </c>
      <c r="T8" s="553">
        <v>2300</v>
      </c>
    </row>
    <row r="9" spans="2:20" ht="12.75" customHeight="1">
      <c r="B9" s="524"/>
      <c r="C9" s="524"/>
      <c r="D9" s="524"/>
      <c r="E9" s="524"/>
      <c r="F9" s="524"/>
      <c r="G9" s="546">
        <v>35</v>
      </c>
      <c r="H9" s="547">
        <v>3</v>
      </c>
      <c r="I9" s="548">
        <v>7</v>
      </c>
      <c r="J9" s="549">
        <v>450</v>
      </c>
      <c r="K9" s="524"/>
      <c r="L9" s="550">
        <v>63</v>
      </c>
      <c r="M9" s="551">
        <v>3</v>
      </c>
      <c r="N9" s="552">
        <v>7</v>
      </c>
      <c r="O9" s="553">
        <v>600</v>
      </c>
      <c r="P9" s="524"/>
      <c r="Q9" s="550">
        <v>160</v>
      </c>
      <c r="R9" s="551">
        <v>5</v>
      </c>
      <c r="S9" s="552">
        <v>11</v>
      </c>
      <c r="T9" s="553">
        <v>1800</v>
      </c>
    </row>
    <row r="10" spans="2:20" ht="12.75" customHeight="1">
      <c r="B10" s="525" t="s">
        <v>98</v>
      </c>
      <c r="C10" s="526"/>
      <c r="D10" s="526" t="s">
        <v>435</v>
      </c>
      <c r="E10" s="527"/>
      <c r="F10" s="524"/>
      <c r="G10" s="554">
        <v>6.6</v>
      </c>
      <c r="H10" s="555" t="s">
        <v>119</v>
      </c>
      <c r="I10" s="556">
        <v>1</v>
      </c>
      <c r="J10" s="557">
        <v>165</v>
      </c>
      <c r="K10" s="524"/>
      <c r="L10" s="546">
        <v>25</v>
      </c>
      <c r="M10" s="547">
        <v>1</v>
      </c>
      <c r="N10" s="548">
        <v>3</v>
      </c>
      <c r="O10" s="549">
        <v>375</v>
      </c>
      <c r="P10" s="524"/>
      <c r="Q10" s="550">
        <v>100</v>
      </c>
      <c r="R10" s="551">
        <v>3</v>
      </c>
      <c r="S10" s="552">
        <v>7</v>
      </c>
      <c r="T10" s="553">
        <v>1550</v>
      </c>
    </row>
    <row r="11" spans="2:20" ht="12.75" customHeight="1">
      <c r="B11" s="529"/>
      <c r="C11" s="524"/>
      <c r="D11" s="524"/>
      <c r="E11" s="530"/>
      <c r="F11" s="524"/>
      <c r="G11" s="524"/>
      <c r="H11" s="524"/>
      <c r="I11" s="524"/>
      <c r="J11" s="524"/>
      <c r="K11" s="524"/>
      <c r="L11" s="554">
        <v>10</v>
      </c>
      <c r="M11" s="555" t="s">
        <v>119</v>
      </c>
      <c r="N11" s="556">
        <v>1</v>
      </c>
      <c r="O11" s="557">
        <v>300</v>
      </c>
      <c r="P11" s="524"/>
      <c r="Q11" s="546">
        <v>40</v>
      </c>
      <c r="R11" s="547">
        <v>1</v>
      </c>
      <c r="S11" s="548">
        <v>3</v>
      </c>
      <c r="T11" s="549">
        <v>950</v>
      </c>
    </row>
    <row r="12" spans="2:20" ht="12.75" customHeight="1">
      <c r="B12" s="542" t="s">
        <v>52</v>
      </c>
      <c r="C12" s="543" t="s">
        <v>117</v>
      </c>
      <c r="D12" s="544" t="s">
        <v>118</v>
      </c>
      <c r="E12" s="545" t="s">
        <v>2</v>
      </c>
      <c r="F12" s="524"/>
      <c r="G12" s="525" t="s">
        <v>409</v>
      </c>
      <c r="H12" s="526"/>
      <c r="I12" s="526" t="s">
        <v>138</v>
      </c>
      <c r="J12" s="527"/>
      <c r="K12" s="524"/>
      <c r="L12" s="524"/>
      <c r="M12" s="524"/>
      <c r="N12" s="524"/>
      <c r="O12" s="524"/>
      <c r="P12" s="524"/>
      <c r="Q12" s="554">
        <v>12.5</v>
      </c>
      <c r="R12" s="555" t="s">
        <v>119</v>
      </c>
      <c r="S12" s="556">
        <v>1</v>
      </c>
      <c r="T12" s="557">
        <v>410</v>
      </c>
    </row>
    <row r="13" spans="2:20" ht="12.75" customHeight="1">
      <c r="B13" s="550">
        <v>50</v>
      </c>
      <c r="C13" s="551">
        <v>5</v>
      </c>
      <c r="D13" s="552">
        <v>11</v>
      </c>
      <c r="E13" s="553">
        <v>475</v>
      </c>
      <c r="F13" s="524"/>
      <c r="G13" s="529"/>
      <c r="H13" s="524"/>
      <c r="I13" s="524"/>
      <c r="J13" s="530"/>
      <c r="K13" s="524"/>
      <c r="L13" s="525" t="s">
        <v>412</v>
      </c>
      <c r="M13" s="526"/>
      <c r="N13" s="526" t="s">
        <v>436</v>
      </c>
      <c r="O13" s="527"/>
      <c r="P13" s="524"/>
      <c r="Q13" s="524"/>
      <c r="R13" s="524"/>
      <c r="S13" s="524"/>
      <c r="T13" s="524"/>
    </row>
    <row r="14" spans="2:20" ht="12.75" customHeight="1">
      <c r="B14" s="550">
        <v>32</v>
      </c>
      <c r="C14" s="551">
        <v>3</v>
      </c>
      <c r="D14" s="552">
        <v>7</v>
      </c>
      <c r="E14" s="553">
        <v>300</v>
      </c>
      <c r="F14" s="524"/>
      <c r="G14" s="542" t="s">
        <v>52</v>
      </c>
      <c r="H14" s="543" t="s">
        <v>117</v>
      </c>
      <c r="I14" s="544" t="s">
        <v>118</v>
      </c>
      <c r="J14" s="545" t="s">
        <v>2</v>
      </c>
      <c r="K14" s="524"/>
      <c r="L14" s="529"/>
      <c r="M14" s="524"/>
      <c r="N14" s="524"/>
      <c r="O14" s="530"/>
      <c r="P14" s="524"/>
      <c r="Q14" s="525" t="s">
        <v>249</v>
      </c>
      <c r="R14" s="526"/>
      <c r="S14" s="526" t="s">
        <v>141</v>
      </c>
      <c r="T14" s="527"/>
    </row>
    <row r="15" spans="2:20" ht="12.75" customHeight="1">
      <c r="B15" s="546">
        <v>12.5</v>
      </c>
      <c r="C15" s="547">
        <v>1</v>
      </c>
      <c r="D15" s="548">
        <v>3</v>
      </c>
      <c r="E15" s="549">
        <v>170</v>
      </c>
      <c r="F15" s="524"/>
      <c r="G15" s="550">
        <v>125</v>
      </c>
      <c r="H15" s="551">
        <v>7</v>
      </c>
      <c r="I15" s="552">
        <v>15</v>
      </c>
      <c r="J15" s="553">
        <v>1200</v>
      </c>
      <c r="K15" s="524"/>
      <c r="L15" s="542" t="s">
        <v>52</v>
      </c>
      <c r="M15" s="543" t="s">
        <v>117</v>
      </c>
      <c r="N15" s="544" t="s">
        <v>118</v>
      </c>
      <c r="O15" s="545" t="s">
        <v>2</v>
      </c>
      <c r="P15" s="524"/>
      <c r="Q15" s="529"/>
      <c r="R15" s="524"/>
      <c r="S15" s="524"/>
      <c r="T15" s="530"/>
    </row>
    <row r="16" spans="2:20" ht="12.75" customHeight="1">
      <c r="B16" s="554">
        <v>6</v>
      </c>
      <c r="C16" s="555" t="s">
        <v>119</v>
      </c>
      <c r="D16" s="556">
        <v>1</v>
      </c>
      <c r="E16" s="557">
        <v>150</v>
      </c>
      <c r="F16" s="524"/>
      <c r="G16" s="550">
        <v>90</v>
      </c>
      <c r="H16" s="551">
        <v>5</v>
      </c>
      <c r="I16" s="552">
        <v>11</v>
      </c>
      <c r="J16" s="553">
        <v>800</v>
      </c>
      <c r="K16" s="524"/>
      <c r="L16" s="550">
        <v>200</v>
      </c>
      <c r="M16" s="551">
        <v>9</v>
      </c>
      <c r="N16" s="552">
        <v>19</v>
      </c>
      <c r="O16" s="553">
        <v>1600</v>
      </c>
      <c r="P16" s="524"/>
      <c r="Q16" s="542" t="s">
        <v>52</v>
      </c>
      <c r="R16" s="543" t="s">
        <v>117</v>
      </c>
      <c r="S16" s="544" t="s">
        <v>118</v>
      </c>
      <c r="T16" s="545" t="s">
        <v>2</v>
      </c>
    </row>
    <row r="17" spans="2:20" ht="12.75" customHeight="1">
      <c r="B17" s="524"/>
      <c r="C17" s="524"/>
      <c r="D17" s="524"/>
      <c r="E17" s="524"/>
      <c r="F17" s="524"/>
      <c r="G17" s="550">
        <v>63</v>
      </c>
      <c r="H17" s="551">
        <v>3</v>
      </c>
      <c r="I17" s="552">
        <v>7</v>
      </c>
      <c r="J17" s="553">
        <v>600</v>
      </c>
      <c r="K17" s="524"/>
      <c r="L17" s="550">
        <v>160</v>
      </c>
      <c r="M17" s="551">
        <v>7</v>
      </c>
      <c r="N17" s="552">
        <v>15</v>
      </c>
      <c r="O17" s="553">
        <v>1350</v>
      </c>
      <c r="P17" s="524"/>
      <c r="Q17" s="550">
        <v>200</v>
      </c>
      <c r="R17" s="551">
        <v>9</v>
      </c>
      <c r="S17" s="552">
        <v>18</v>
      </c>
      <c r="T17" s="553">
        <v>2000</v>
      </c>
    </row>
    <row r="18" spans="2:20" ht="12.75" customHeight="1">
      <c r="B18" s="525" t="s">
        <v>99</v>
      </c>
      <c r="C18" s="526"/>
      <c r="D18" s="526" t="s">
        <v>435</v>
      </c>
      <c r="E18" s="527"/>
      <c r="F18" s="524"/>
      <c r="G18" s="546">
        <v>25</v>
      </c>
      <c r="H18" s="547">
        <v>1</v>
      </c>
      <c r="I18" s="548">
        <v>3</v>
      </c>
      <c r="J18" s="549">
        <v>300</v>
      </c>
      <c r="K18" s="524"/>
      <c r="L18" s="550">
        <v>125</v>
      </c>
      <c r="M18" s="551">
        <v>5</v>
      </c>
      <c r="N18" s="552">
        <v>11</v>
      </c>
      <c r="O18" s="553">
        <v>1150</v>
      </c>
      <c r="P18" s="524"/>
      <c r="Q18" s="550">
        <v>160</v>
      </c>
      <c r="R18" s="551">
        <v>7</v>
      </c>
      <c r="S18" s="552">
        <v>14</v>
      </c>
      <c r="T18" s="553">
        <v>1900</v>
      </c>
    </row>
    <row r="19" spans="2:20" ht="12.75" customHeight="1">
      <c r="B19" s="529"/>
      <c r="C19" s="524"/>
      <c r="D19" s="524"/>
      <c r="E19" s="530"/>
      <c r="F19" s="524"/>
      <c r="G19" s="554">
        <v>10</v>
      </c>
      <c r="H19" s="555" t="s">
        <v>119</v>
      </c>
      <c r="I19" s="556">
        <v>1</v>
      </c>
      <c r="J19" s="557">
        <v>200</v>
      </c>
      <c r="K19" s="524"/>
      <c r="L19" s="550">
        <v>80</v>
      </c>
      <c r="M19" s="551">
        <v>3</v>
      </c>
      <c r="N19" s="552">
        <v>7</v>
      </c>
      <c r="O19" s="553">
        <v>850</v>
      </c>
      <c r="P19" s="524"/>
      <c r="Q19" s="550">
        <v>125</v>
      </c>
      <c r="R19" s="551">
        <v>5</v>
      </c>
      <c r="S19" s="552">
        <v>11</v>
      </c>
      <c r="T19" s="553">
        <v>1400</v>
      </c>
    </row>
    <row r="20" spans="2:20" ht="12.75" customHeight="1">
      <c r="B20" s="542" t="s">
        <v>52</v>
      </c>
      <c r="C20" s="543" t="s">
        <v>117</v>
      </c>
      <c r="D20" s="544" t="s">
        <v>118</v>
      </c>
      <c r="E20" s="545" t="s">
        <v>2</v>
      </c>
      <c r="F20" s="524"/>
      <c r="G20" s="524"/>
      <c r="H20" s="524"/>
      <c r="I20" s="524"/>
      <c r="J20" s="524"/>
      <c r="K20" s="524"/>
      <c r="L20" s="546">
        <v>32</v>
      </c>
      <c r="M20" s="547">
        <v>1</v>
      </c>
      <c r="N20" s="548">
        <v>3</v>
      </c>
      <c r="O20" s="549">
        <v>450</v>
      </c>
      <c r="P20" s="524"/>
      <c r="Q20" s="550">
        <v>80</v>
      </c>
      <c r="R20" s="551">
        <v>3</v>
      </c>
      <c r="S20" s="552">
        <v>7</v>
      </c>
      <c r="T20" s="553">
        <v>1200</v>
      </c>
    </row>
    <row r="21" spans="2:20" ht="12.75" customHeight="1">
      <c r="B21" s="550">
        <v>70</v>
      </c>
      <c r="C21" s="551">
        <v>5</v>
      </c>
      <c r="D21" s="552">
        <v>11</v>
      </c>
      <c r="E21" s="553">
        <v>850</v>
      </c>
      <c r="F21" s="524"/>
      <c r="G21" s="525" t="s">
        <v>410</v>
      </c>
      <c r="H21" s="526"/>
      <c r="I21" s="526" t="s">
        <v>138</v>
      </c>
      <c r="J21" s="527"/>
      <c r="K21" s="524"/>
      <c r="L21" s="554">
        <v>10</v>
      </c>
      <c r="M21" s="555" t="s">
        <v>119</v>
      </c>
      <c r="N21" s="556">
        <v>1</v>
      </c>
      <c r="O21" s="557">
        <v>300</v>
      </c>
      <c r="P21" s="524"/>
      <c r="Q21" s="546">
        <v>40</v>
      </c>
      <c r="R21" s="547">
        <v>1</v>
      </c>
      <c r="S21" s="548">
        <v>3</v>
      </c>
      <c r="T21" s="549">
        <v>900</v>
      </c>
    </row>
    <row r="22" spans="2:20" ht="12.75" customHeight="1">
      <c r="B22" s="546">
        <v>40</v>
      </c>
      <c r="C22" s="547">
        <v>3</v>
      </c>
      <c r="D22" s="548">
        <v>7</v>
      </c>
      <c r="E22" s="549">
        <v>470</v>
      </c>
      <c r="F22" s="524"/>
      <c r="G22" s="529"/>
      <c r="H22" s="524"/>
      <c r="I22" s="524"/>
      <c r="J22" s="530"/>
      <c r="K22" s="524"/>
      <c r="L22" s="524"/>
      <c r="M22" s="524"/>
      <c r="N22" s="524"/>
      <c r="O22" s="524"/>
      <c r="P22" s="524"/>
      <c r="Q22" s="554">
        <v>12</v>
      </c>
      <c r="R22" s="555" t="s">
        <v>119</v>
      </c>
      <c r="S22" s="556">
        <v>1</v>
      </c>
      <c r="T22" s="557">
        <v>500</v>
      </c>
    </row>
    <row r="23" spans="2:20" ht="12.75" customHeight="1">
      <c r="B23" s="554">
        <v>5.6</v>
      </c>
      <c r="C23" s="555" t="s">
        <v>119</v>
      </c>
      <c r="D23" s="556">
        <v>1</v>
      </c>
      <c r="E23" s="557">
        <v>150</v>
      </c>
      <c r="F23" s="524"/>
      <c r="G23" s="542" t="s">
        <v>52</v>
      </c>
      <c r="H23" s="543" t="s">
        <v>117</v>
      </c>
      <c r="I23" s="544" t="s">
        <v>118</v>
      </c>
      <c r="J23" s="545" t="s">
        <v>2</v>
      </c>
      <c r="K23" s="524"/>
      <c r="L23" s="524"/>
      <c r="M23" s="524"/>
      <c r="N23" s="524"/>
      <c r="O23" s="524"/>
      <c r="P23" s="524"/>
      <c r="Q23" s="524"/>
      <c r="R23" s="524"/>
      <c r="S23" s="524"/>
      <c r="T23" s="524"/>
    </row>
    <row r="24" spans="2:20" ht="12.75" customHeight="1">
      <c r="B24" s="524"/>
      <c r="C24" s="524"/>
      <c r="D24" s="524"/>
      <c r="E24" s="524"/>
      <c r="F24" s="524"/>
      <c r="G24" s="550">
        <v>120</v>
      </c>
      <c r="H24" s="551">
        <v>7</v>
      </c>
      <c r="I24" s="552">
        <v>15</v>
      </c>
      <c r="J24" s="553">
        <v>1300</v>
      </c>
      <c r="K24" s="524"/>
      <c r="L24" s="524"/>
      <c r="M24" s="524"/>
      <c r="N24" s="524"/>
      <c r="O24" s="524"/>
      <c r="P24" s="524"/>
      <c r="Q24" s="524"/>
      <c r="R24" s="524"/>
      <c r="S24" s="524"/>
      <c r="T24" s="524"/>
    </row>
    <row r="25" spans="2:20" ht="12.75" customHeight="1">
      <c r="B25" s="524"/>
      <c r="C25" s="524"/>
      <c r="D25" s="524"/>
      <c r="E25" s="524"/>
      <c r="F25" s="524"/>
      <c r="G25" s="550">
        <v>91.7</v>
      </c>
      <c r="H25" s="551">
        <v>5</v>
      </c>
      <c r="I25" s="552">
        <v>11</v>
      </c>
      <c r="J25" s="553">
        <v>800</v>
      </c>
      <c r="K25" s="524"/>
      <c r="L25" s="524"/>
      <c r="M25" s="524"/>
      <c r="N25" s="524"/>
      <c r="O25" s="524"/>
      <c r="P25" s="524"/>
      <c r="Q25" s="524"/>
      <c r="R25" s="524"/>
      <c r="S25" s="524"/>
      <c r="T25" s="524"/>
    </row>
    <row r="26" spans="2:20" ht="12.75" customHeight="1">
      <c r="B26" s="524"/>
      <c r="C26" s="524"/>
      <c r="D26" s="524"/>
      <c r="E26" s="524"/>
      <c r="F26" s="524"/>
      <c r="G26" s="550" t="s">
        <v>246</v>
      </c>
      <c r="H26" s="551">
        <v>3</v>
      </c>
      <c r="I26" s="552">
        <v>7</v>
      </c>
      <c r="J26" s="553">
        <v>600</v>
      </c>
      <c r="K26" s="524"/>
      <c r="L26" s="524"/>
      <c r="M26" s="524"/>
      <c r="N26" s="524"/>
      <c r="O26" s="524"/>
      <c r="P26" s="524"/>
      <c r="Q26" s="524"/>
      <c r="R26" s="524"/>
      <c r="S26" s="524"/>
      <c r="T26" s="524"/>
    </row>
    <row r="27" spans="2:20" ht="12.75" customHeight="1">
      <c r="B27" s="524"/>
      <c r="C27" s="524"/>
      <c r="D27" s="524"/>
      <c r="E27" s="524"/>
      <c r="F27" s="524"/>
      <c r="G27" s="550" t="s">
        <v>247</v>
      </c>
      <c r="H27" s="551">
        <v>3</v>
      </c>
      <c r="I27" s="552">
        <v>7</v>
      </c>
      <c r="J27" s="553">
        <v>600</v>
      </c>
      <c r="K27" s="524"/>
      <c r="L27" s="524"/>
      <c r="M27" s="595" t="s">
        <v>816</v>
      </c>
      <c r="N27" s="596"/>
      <c r="O27" s="597"/>
      <c r="P27" s="524"/>
      <c r="Q27" s="524"/>
      <c r="R27" s="524"/>
      <c r="S27" s="524"/>
      <c r="T27" s="524"/>
    </row>
    <row r="28" spans="2:20" ht="12.75" customHeight="1">
      <c r="B28" s="524"/>
      <c r="C28" s="524"/>
      <c r="D28" s="524"/>
      <c r="E28" s="524"/>
      <c r="F28" s="524"/>
      <c r="G28" s="546">
        <v>25.6</v>
      </c>
      <c r="H28" s="547">
        <v>1</v>
      </c>
      <c r="I28" s="548">
        <v>3</v>
      </c>
      <c r="J28" s="549">
        <v>450</v>
      </c>
      <c r="K28" s="524"/>
      <c r="L28" s="524"/>
      <c r="M28" s="598"/>
      <c r="N28" s="599"/>
      <c r="O28" s="600"/>
      <c r="P28" s="524"/>
      <c r="Q28" s="524"/>
      <c r="R28" s="524"/>
      <c r="S28" s="524"/>
      <c r="T28" s="524"/>
    </row>
    <row r="29" spans="2:20" ht="12.75" customHeight="1">
      <c r="B29" s="524"/>
      <c r="C29" s="524"/>
      <c r="D29" s="524"/>
      <c r="E29" s="524"/>
      <c r="F29" s="524"/>
      <c r="G29" s="554">
        <v>8.6999999999999993</v>
      </c>
      <c r="H29" s="555" t="s">
        <v>119</v>
      </c>
      <c r="I29" s="556">
        <v>1</v>
      </c>
      <c r="J29" s="557">
        <v>300</v>
      </c>
      <c r="K29" s="524"/>
      <c r="L29" s="524"/>
      <c r="M29" s="598"/>
      <c r="N29" s="599"/>
      <c r="O29" s="600"/>
      <c r="P29" s="524"/>
      <c r="Q29" s="524"/>
      <c r="R29" s="524"/>
      <c r="S29" s="524"/>
      <c r="T29" s="524"/>
    </row>
    <row r="30" spans="2:20" ht="12.75" customHeight="1">
      <c r="B30" s="524"/>
      <c r="C30" s="524"/>
      <c r="D30" s="524"/>
      <c r="E30" s="524"/>
      <c r="F30" s="524"/>
      <c r="G30" s="524"/>
      <c r="H30" s="524"/>
      <c r="I30" s="524"/>
      <c r="J30" s="524"/>
      <c r="K30" s="524"/>
      <c r="L30" s="524"/>
      <c r="M30" s="598"/>
      <c r="N30" s="599"/>
      <c r="O30" s="600"/>
      <c r="P30" s="524"/>
      <c r="Q30" s="524"/>
      <c r="R30" s="524"/>
      <c r="S30" s="524"/>
      <c r="T30" s="524"/>
    </row>
    <row r="31" spans="2:20" ht="12.75" customHeight="1">
      <c r="B31" s="572" t="s">
        <v>809</v>
      </c>
      <c r="M31" s="598"/>
      <c r="N31" s="599"/>
      <c r="O31" s="600"/>
    </row>
    <row r="32" spans="2:20" ht="12.75" customHeight="1">
      <c r="B32" s="572" t="s">
        <v>810</v>
      </c>
      <c r="M32" s="601"/>
      <c r="N32" s="602"/>
      <c r="O32" s="603"/>
    </row>
    <row r="33" spans="2:2">
      <c r="B33" s="572" t="s">
        <v>811</v>
      </c>
    </row>
    <row r="34" spans="2:2">
      <c r="B34" s="573" t="s">
        <v>812</v>
      </c>
    </row>
    <row r="35" spans="2:2">
      <c r="B35" s="573" t="s">
        <v>813</v>
      </c>
    </row>
  </sheetData>
  <sheetProtection sheet="1" objects="1" scenarios="1" selectLockedCells="1"/>
  <mergeCells count="1">
    <mergeCell ref="M27:O32"/>
  </mergeCells>
  <hyperlinks>
    <hyperlink ref="G2" location="Home!A1" display="Home" xr:uid="{B89981C0-842D-4632-86A5-C1C938C83B5C}"/>
    <hyperlink ref="B34" r:id="rId1" xr:uid="{7235E1CD-1B6C-4C33-BA59-6B252E4D1A56}"/>
    <hyperlink ref="B35" r:id="rId2" xr:uid="{17D7A6D0-D1F3-4BF7-86E9-D9B5CD29B2F6}"/>
  </hyperlinks>
  <pageMargins left="0.25" right="0.25" top="0.75" bottom="0.75" header="0.3" footer="0.3"/>
  <pageSetup paperSize="9" scale="88" orientation="landscape" horizontalDpi="300" verticalDpi="300"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01536-456B-447C-A5AD-9925DBF7FE3C}">
  <sheetPr codeName="Sheet30">
    <pageSetUpPr fitToPage="1"/>
  </sheetPr>
  <dimension ref="B2:T31"/>
  <sheetViews>
    <sheetView showGridLines="0" showRowColHeaders="0" zoomScale="85" zoomScaleNormal="85" workbookViewId="0">
      <selection activeCell="G2" sqref="G2"/>
    </sheetView>
  </sheetViews>
  <sheetFormatPr defaultRowHeight="15"/>
  <cols>
    <col min="1" max="1" width="9.140625" style="68"/>
    <col min="2" max="2" width="11.85546875" style="68" customWidth="1"/>
    <col min="3" max="3" width="7.42578125" style="68" customWidth="1"/>
    <col min="4" max="4" width="11.28515625" style="68" customWidth="1"/>
    <col min="5" max="5" width="6.85546875" style="68" customWidth="1"/>
    <col min="6" max="6" width="2.28515625" style="68" customWidth="1"/>
    <col min="7" max="7" width="11.85546875" style="68" customWidth="1"/>
    <col min="8" max="8" width="7.42578125" style="68" customWidth="1"/>
    <col min="9" max="9" width="11.28515625" style="68" customWidth="1"/>
    <col min="10" max="10" width="6.85546875" style="68" customWidth="1"/>
    <col min="11" max="11" width="2.28515625" style="68" customWidth="1"/>
    <col min="12" max="12" width="11.85546875" style="68" customWidth="1"/>
    <col min="13" max="13" width="7.42578125" style="68" customWidth="1"/>
    <col min="14" max="14" width="11.28515625" style="68" customWidth="1"/>
    <col min="15" max="15" width="6.85546875" style="68" customWidth="1"/>
    <col min="16" max="16" width="2.28515625" style="68" customWidth="1"/>
    <col min="17" max="17" width="11.85546875" style="68" customWidth="1"/>
    <col min="18" max="18" width="7.42578125" style="68" customWidth="1"/>
    <col min="19" max="19" width="11.28515625" style="68" customWidth="1"/>
    <col min="20" max="20" width="6.85546875" style="68" customWidth="1"/>
    <col min="21" max="16384" width="9.140625" style="68"/>
  </cols>
  <sheetData>
    <row r="2" spans="2:20" ht="20.25">
      <c r="B2" s="146" t="s">
        <v>626</v>
      </c>
      <c r="G2" s="592" t="s">
        <v>298</v>
      </c>
    </row>
    <row r="3" spans="2:20" ht="12.75" customHeight="1"/>
    <row r="4" spans="2:20" ht="12.75" customHeight="1">
      <c r="B4" s="525" t="s">
        <v>250</v>
      </c>
      <c r="C4" s="526"/>
      <c r="D4" s="526" t="s">
        <v>282</v>
      </c>
      <c r="E4" s="527"/>
      <c r="F4" s="524"/>
      <c r="G4" s="525" t="s">
        <v>255</v>
      </c>
      <c r="H4" s="526"/>
      <c r="I4" s="526" t="s">
        <v>138</v>
      </c>
      <c r="J4" s="527"/>
      <c r="K4" s="524"/>
      <c r="L4" s="525" t="s">
        <v>106</v>
      </c>
      <c r="M4" s="526"/>
      <c r="N4" s="526" t="s">
        <v>436</v>
      </c>
      <c r="O4" s="527"/>
      <c r="P4" s="524"/>
      <c r="Q4" s="525" t="s">
        <v>107</v>
      </c>
      <c r="R4" s="526"/>
      <c r="S4" s="526" t="s">
        <v>436</v>
      </c>
      <c r="T4" s="527"/>
    </row>
    <row r="5" spans="2:20" ht="12.75" customHeight="1">
      <c r="B5" s="529"/>
      <c r="C5" s="524"/>
      <c r="D5" s="524"/>
      <c r="E5" s="530"/>
      <c r="F5" s="524"/>
      <c r="G5" s="529"/>
      <c r="H5" s="524"/>
      <c r="I5" s="524"/>
      <c r="J5" s="530"/>
      <c r="K5" s="524"/>
      <c r="L5" s="529"/>
      <c r="M5" s="524"/>
      <c r="N5" s="524"/>
      <c r="O5" s="530"/>
      <c r="P5" s="524"/>
      <c r="Q5" s="529"/>
      <c r="R5" s="524"/>
      <c r="S5" s="524"/>
      <c r="T5" s="530"/>
    </row>
    <row r="6" spans="2:20" ht="12.75" customHeight="1">
      <c r="B6" s="542" t="s">
        <v>52</v>
      </c>
      <c r="C6" s="543" t="s">
        <v>117</v>
      </c>
      <c r="D6" s="544" t="s">
        <v>118</v>
      </c>
      <c r="E6" s="545" t="s">
        <v>2</v>
      </c>
      <c r="F6" s="524"/>
      <c r="G6" s="542" t="s">
        <v>52</v>
      </c>
      <c r="H6" s="543" t="s">
        <v>117</v>
      </c>
      <c r="I6" s="544" t="s">
        <v>118</v>
      </c>
      <c r="J6" s="545" t="s">
        <v>2</v>
      </c>
      <c r="K6" s="524"/>
      <c r="L6" s="542" t="s">
        <v>52</v>
      </c>
      <c r="M6" s="543" t="s">
        <v>117</v>
      </c>
      <c r="N6" s="544" t="s">
        <v>118</v>
      </c>
      <c r="O6" s="545" t="s">
        <v>2</v>
      </c>
      <c r="P6" s="524"/>
      <c r="Q6" s="542" t="s">
        <v>52</v>
      </c>
      <c r="R6" s="543" t="s">
        <v>117</v>
      </c>
      <c r="S6" s="544" t="s">
        <v>118</v>
      </c>
      <c r="T6" s="545" t="s">
        <v>2</v>
      </c>
    </row>
    <row r="7" spans="2:20" ht="12.75" customHeight="1">
      <c r="B7" s="550">
        <v>100</v>
      </c>
      <c r="C7" s="551">
        <v>7</v>
      </c>
      <c r="D7" s="552">
        <v>14</v>
      </c>
      <c r="E7" s="553">
        <v>1150</v>
      </c>
      <c r="F7" s="524"/>
      <c r="G7" s="550">
        <v>140</v>
      </c>
      <c r="H7" s="551">
        <v>8</v>
      </c>
      <c r="I7" s="552">
        <v>17</v>
      </c>
      <c r="J7" s="553">
        <v>1600</v>
      </c>
      <c r="K7" s="524"/>
      <c r="L7" s="550">
        <v>200</v>
      </c>
      <c r="M7" s="551">
        <v>9</v>
      </c>
      <c r="N7" s="552">
        <v>18</v>
      </c>
      <c r="O7" s="553">
        <v>2400</v>
      </c>
      <c r="P7" s="524"/>
      <c r="Q7" s="550">
        <v>200</v>
      </c>
      <c r="R7" s="551">
        <v>9</v>
      </c>
      <c r="S7" s="552">
        <v>18</v>
      </c>
      <c r="T7" s="553">
        <v>2400</v>
      </c>
    </row>
    <row r="8" spans="2:20" ht="12.75" customHeight="1">
      <c r="B8" s="550">
        <v>75</v>
      </c>
      <c r="C8" s="551">
        <v>5</v>
      </c>
      <c r="D8" s="552">
        <v>11</v>
      </c>
      <c r="E8" s="553">
        <v>850</v>
      </c>
      <c r="F8" s="524"/>
      <c r="G8" s="550">
        <v>95</v>
      </c>
      <c r="H8" s="551">
        <v>5</v>
      </c>
      <c r="I8" s="552">
        <v>11</v>
      </c>
      <c r="J8" s="553">
        <v>1300</v>
      </c>
      <c r="K8" s="524"/>
      <c r="L8" s="550">
        <v>160</v>
      </c>
      <c r="M8" s="551">
        <v>7</v>
      </c>
      <c r="N8" s="552">
        <v>15</v>
      </c>
      <c r="O8" s="553">
        <v>1750</v>
      </c>
      <c r="P8" s="524"/>
      <c r="Q8" s="550">
        <v>160</v>
      </c>
      <c r="R8" s="551">
        <v>7</v>
      </c>
      <c r="S8" s="552">
        <v>15</v>
      </c>
      <c r="T8" s="553">
        <v>1750</v>
      </c>
    </row>
    <row r="9" spans="2:20" ht="12.75" customHeight="1">
      <c r="B9" s="550">
        <v>50</v>
      </c>
      <c r="C9" s="551">
        <v>3</v>
      </c>
      <c r="D9" s="552">
        <v>7</v>
      </c>
      <c r="E9" s="553">
        <v>675</v>
      </c>
      <c r="F9" s="524"/>
      <c r="G9" s="550">
        <v>60</v>
      </c>
      <c r="H9" s="551">
        <v>3</v>
      </c>
      <c r="I9" s="552">
        <v>7</v>
      </c>
      <c r="J9" s="553">
        <v>950</v>
      </c>
      <c r="K9" s="524"/>
      <c r="L9" s="550">
        <v>125</v>
      </c>
      <c r="M9" s="551">
        <v>5</v>
      </c>
      <c r="N9" s="552">
        <v>11</v>
      </c>
      <c r="O9" s="553">
        <v>1650</v>
      </c>
      <c r="P9" s="524"/>
      <c r="Q9" s="550">
        <v>125</v>
      </c>
      <c r="R9" s="551">
        <v>5</v>
      </c>
      <c r="S9" s="552">
        <v>11</v>
      </c>
      <c r="T9" s="553">
        <v>1650</v>
      </c>
    </row>
    <row r="10" spans="2:20" ht="12.75" customHeight="1">
      <c r="B10" s="546">
        <v>20</v>
      </c>
      <c r="C10" s="547">
        <v>1</v>
      </c>
      <c r="D10" s="548">
        <v>3</v>
      </c>
      <c r="E10" s="549">
        <v>325</v>
      </c>
      <c r="F10" s="524"/>
      <c r="G10" s="546">
        <v>26</v>
      </c>
      <c r="H10" s="547">
        <v>1</v>
      </c>
      <c r="I10" s="548">
        <v>3</v>
      </c>
      <c r="J10" s="549">
        <v>500</v>
      </c>
      <c r="K10" s="524"/>
      <c r="L10" s="550">
        <v>80</v>
      </c>
      <c r="M10" s="551">
        <v>3</v>
      </c>
      <c r="N10" s="552">
        <v>7</v>
      </c>
      <c r="O10" s="553">
        <v>950</v>
      </c>
      <c r="P10" s="524"/>
      <c r="Q10" s="550">
        <v>80</v>
      </c>
      <c r="R10" s="551">
        <v>3</v>
      </c>
      <c r="S10" s="552">
        <v>7</v>
      </c>
      <c r="T10" s="553">
        <v>950</v>
      </c>
    </row>
    <row r="11" spans="2:20" ht="12.75" customHeight="1">
      <c r="B11" s="554">
        <v>8</v>
      </c>
      <c r="C11" s="555">
        <v>1</v>
      </c>
      <c r="D11" s="556">
        <v>1</v>
      </c>
      <c r="E11" s="557">
        <v>200</v>
      </c>
      <c r="F11" s="524"/>
      <c r="G11" s="554">
        <v>9</v>
      </c>
      <c r="H11" s="555" t="s">
        <v>119</v>
      </c>
      <c r="I11" s="556">
        <v>1</v>
      </c>
      <c r="J11" s="557">
        <v>200</v>
      </c>
      <c r="K11" s="524"/>
      <c r="L11" s="546">
        <v>32</v>
      </c>
      <c r="M11" s="547">
        <v>1</v>
      </c>
      <c r="N11" s="548">
        <v>3</v>
      </c>
      <c r="O11" s="549">
        <v>600</v>
      </c>
      <c r="P11" s="524"/>
      <c r="Q11" s="546">
        <v>32</v>
      </c>
      <c r="R11" s="547">
        <v>1</v>
      </c>
      <c r="S11" s="548">
        <v>3</v>
      </c>
      <c r="T11" s="549">
        <v>600</v>
      </c>
    </row>
    <row r="12" spans="2:20" ht="12.75" customHeight="1">
      <c r="B12" s="524"/>
      <c r="C12" s="524"/>
      <c r="D12" s="524"/>
      <c r="E12" s="524"/>
      <c r="F12" s="524"/>
      <c r="G12" s="524"/>
      <c r="H12" s="524"/>
      <c r="I12" s="524"/>
      <c r="J12" s="524"/>
      <c r="K12" s="524"/>
      <c r="L12" s="554">
        <v>12</v>
      </c>
      <c r="M12" s="555" t="s">
        <v>119</v>
      </c>
      <c r="N12" s="556">
        <v>1</v>
      </c>
      <c r="O12" s="557">
        <v>300</v>
      </c>
      <c r="P12" s="524"/>
      <c r="Q12" s="554">
        <v>12</v>
      </c>
      <c r="R12" s="555" t="s">
        <v>119</v>
      </c>
      <c r="S12" s="556">
        <v>1</v>
      </c>
      <c r="T12" s="557">
        <v>300</v>
      </c>
    </row>
    <row r="13" spans="2:20" ht="12.75" customHeight="1">
      <c r="B13" s="525" t="s">
        <v>414</v>
      </c>
      <c r="C13" s="526"/>
      <c r="D13" s="526" t="s">
        <v>282</v>
      </c>
      <c r="E13" s="527"/>
      <c r="F13" s="524"/>
      <c r="G13" s="525" t="s">
        <v>415</v>
      </c>
      <c r="H13" s="526"/>
      <c r="I13" s="526" t="s">
        <v>436</v>
      </c>
      <c r="J13" s="527"/>
      <c r="K13" s="524"/>
      <c r="L13" s="524"/>
      <c r="M13" s="524"/>
      <c r="N13" s="524"/>
      <c r="O13" s="524"/>
      <c r="P13" s="524"/>
      <c r="Q13" s="524"/>
      <c r="R13" s="524"/>
      <c r="S13" s="524"/>
      <c r="T13" s="524"/>
    </row>
    <row r="14" spans="2:20" ht="12.75" customHeight="1">
      <c r="B14" s="529"/>
      <c r="C14" s="524"/>
      <c r="D14" s="524"/>
      <c r="E14" s="530"/>
      <c r="F14" s="524"/>
      <c r="G14" s="529"/>
      <c r="H14" s="524"/>
      <c r="I14" s="524"/>
      <c r="J14" s="530"/>
      <c r="K14" s="524"/>
      <c r="L14" s="525" t="s">
        <v>251</v>
      </c>
      <c r="M14" s="526"/>
      <c r="N14" s="526" t="s">
        <v>436</v>
      </c>
      <c r="O14" s="527"/>
      <c r="P14" s="524"/>
      <c r="Q14" s="525" t="s">
        <v>254</v>
      </c>
      <c r="R14" s="526"/>
      <c r="S14" s="526" t="s">
        <v>436</v>
      </c>
      <c r="T14" s="527"/>
    </row>
    <row r="15" spans="2:20" ht="12.75" customHeight="1">
      <c r="B15" s="542" t="s">
        <v>52</v>
      </c>
      <c r="C15" s="543" t="s">
        <v>117</v>
      </c>
      <c r="D15" s="544" t="s">
        <v>118</v>
      </c>
      <c r="E15" s="545" t="s">
        <v>2</v>
      </c>
      <c r="F15" s="524"/>
      <c r="G15" s="542" t="s">
        <v>52</v>
      </c>
      <c r="H15" s="543" t="s">
        <v>117</v>
      </c>
      <c r="I15" s="544" t="s">
        <v>118</v>
      </c>
      <c r="J15" s="545" t="s">
        <v>2</v>
      </c>
      <c r="K15" s="524"/>
      <c r="L15" s="529"/>
      <c r="M15" s="524"/>
      <c r="N15" s="524"/>
      <c r="O15" s="530"/>
      <c r="P15" s="524"/>
      <c r="Q15" s="529"/>
      <c r="R15" s="524"/>
      <c r="S15" s="524"/>
      <c r="T15" s="530"/>
    </row>
    <row r="16" spans="2:20" ht="12.75" customHeight="1">
      <c r="B16" s="550">
        <v>100</v>
      </c>
      <c r="C16" s="551">
        <v>7</v>
      </c>
      <c r="D16" s="552">
        <v>14</v>
      </c>
      <c r="E16" s="553">
        <v>1150</v>
      </c>
      <c r="F16" s="524"/>
      <c r="G16" s="550">
        <v>200</v>
      </c>
      <c r="H16" s="551">
        <v>9</v>
      </c>
      <c r="I16" s="552">
        <v>18</v>
      </c>
      <c r="J16" s="553">
        <v>2400</v>
      </c>
      <c r="K16" s="524"/>
      <c r="L16" s="542" t="s">
        <v>52</v>
      </c>
      <c r="M16" s="543" t="s">
        <v>117</v>
      </c>
      <c r="N16" s="544" t="s">
        <v>118</v>
      </c>
      <c r="O16" s="545" t="s">
        <v>2</v>
      </c>
      <c r="P16" s="524"/>
      <c r="Q16" s="542" t="s">
        <v>52</v>
      </c>
      <c r="R16" s="543" t="s">
        <v>117</v>
      </c>
      <c r="S16" s="544" t="s">
        <v>118</v>
      </c>
      <c r="T16" s="545" t="s">
        <v>2</v>
      </c>
    </row>
    <row r="17" spans="2:20" ht="12.75" customHeight="1">
      <c r="B17" s="550">
        <v>75</v>
      </c>
      <c r="C17" s="551">
        <v>5</v>
      </c>
      <c r="D17" s="552">
        <v>11</v>
      </c>
      <c r="E17" s="553">
        <v>850</v>
      </c>
      <c r="F17" s="524"/>
      <c r="G17" s="550">
        <v>160</v>
      </c>
      <c r="H17" s="551">
        <v>7</v>
      </c>
      <c r="I17" s="552">
        <v>15</v>
      </c>
      <c r="J17" s="553">
        <v>1750</v>
      </c>
      <c r="K17" s="524"/>
      <c r="L17" s="550">
        <v>200</v>
      </c>
      <c r="M17" s="551">
        <v>9</v>
      </c>
      <c r="N17" s="552">
        <v>18</v>
      </c>
      <c r="O17" s="553">
        <v>2400</v>
      </c>
      <c r="P17" s="524"/>
      <c r="Q17" s="550">
        <v>200</v>
      </c>
      <c r="R17" s="551">
        <v>9</v>
      </c>
      <c r="S17" s="552">
        <v>18</v>
      </c>
      <c r="T17" s="553">
        <v>2400</v>
      </c>
    </row>
    <row r="18" spans="2:20" ht="12.75" customHeight="1">
      <c r="B18" s="550">
        <v>50</v>
      </c>
      <c r="C18" s="551">
        <v>3</v>
      </c>
      <c r="D18" s="552">
        <v>7</v>
      </c>
      <c r="E18" s="553">
        <v>675</v>
      </c>
      <c r="F18" s="524"/>
      <c r="G18" s="550">
        <v>125</v>
      </c>
      <c r="H18" s="551">
        <v>5</v>
      </c>
      <c r="I18" s="552">
        <v>11</v>
      </c>
      <c r="J18" s="553">
        <v>1650</v>
      </c>
      <c r="K18" s="524"/>
      <c r="L18" s="550">
        <v>160</v>
      </c>
      <c r="M18" s="551">
        <v>7</v>
      </c>
      <c r="N18" s="552">
        <v>15</v>
      </c>
      <c r="O18" s="553">
        <v>1750</v>
      </c>
      <c r="P18" s="524"/>
      <c r="Q18" s="550">
        <v>160</v>
      </c>
      <c r="R18" s="551">
        <v>7</v>
      </c>
      <c r="S18" s="552">
        <v>15</v>
      </c>
      <c r="T18" s="553">
        <v>1750</v>
      </c>
    </row>
    <row r="19" spans="2:20" ht="12.75" customHeight="1">
      <c r="B19" s="546">
        <v>20</v>
      </c>
      <c r="C19" s="547">
        <v>1</v>
      </c>
      <c r="D19" s="548">
        <v>3</v>
      </c>
      <c r="E19" s="549">
        <v>325</v>
      </c>
      <c r="F19" s="524"/>
      <c r="G19" s="550">
        <v>80</v>
      </c>
      <c r="H19" s="551">
        <v>3</v>
      </c>
      <c r="I19" s="552">
        <v>7</v>
      </c>
      <c r="J19" s="553">
        <v>950</v>
      </c>
      <c r="K19" s="524"/>
      <c r="L19" s="550">
        <v>125</v>
      </c>
      <c r="M19" s="551">
        <v>5</v>
      </c>
      <c r="N19" s="552">
        <v>11</v>
      </c>
      <c r="O19" s="553">
        <v>1650</v>
      </c>
      <c r="P19" s="524"/>
      <c r="Q19" s="550">
        <v>125</v>
      </c>
      <c r="R19" s="551">
        <v>5</v>
      </c>
      <c r="S19" s="552">
        <v>11</v>
      </c>
      <c r="T19" s="553">
        <v>1650</v>
      </c>
    </row>
    <row r="20" spans="2:20" ht="12.75" customHeight="1">
      <c r="B20" s="554">
        <v>8</v>
      </c>
      <c r="C20" s="555">
        <v>1</v>
      </c>
      <c r="D20" s="556">
        <v>1</v>
      </c>
      <c r="E20" s="557">
        <v>200</v>
      </c>
      <c r="F20" s="524"/>
      <c r="G20" s="546">
        <v>32</v>
      </c>
      <c r="H20" s="547">
        <v>1</v>
      </c>
      <c r="I20" s="548">
        <v>3</v>
      </c>
      <c r="J20" s="549">
        <v>600</v>
      </c>
      <c r="K20" s="524"/>
      <c r="L20" s="550">
        <v>80</v>
      </c>
      <c r="M20" s="551">
        <v>3</v>
      </c>
      <c r="N20" s="552">
        <v>7</v>
      </c>
      <c r="O20" s="553">
        <v>950</v>
      </c>
      <c r="P20" s="524"/>
      <c r="Q20" s="550">
        <v>80</v>
      </c>
      <c r="R20" s="551">
        <v>3</v>
      </c>
      <c r="S20" s="552">
        <v>7</v>
      </c>
      <c r="T20" s="553">
        <v>950</v>
      </c>
    </row>
    <row r="21" spans="2:20" ht="12.75" customHeight="1">
      <c r="B21" s="524"/>
      <c r="C21" s="524"/>
      <c r="D21" s="524"/>
      <c r="E21" s="524"/>
      <c r="F21" s="524"/>
      <c r="G21" s="554">
        <v>12</v>
      </c>
      <c r="H21" s="555" t="s">
        <v>119</v>
      </c>
      <c r="I21" s="556">
        <v>1</v>
      </c>
      <c r="J21" s="557">
        <v>300</v>
      </c>
      <c r="K21" s="524"/>
      <c r="L21" s="546">
        <v>32</v>
      </c>
      <c r="M21" s="547">
        <v>1</v>
      </c>
      <c r="N21" s="548">
        <v>3</v>
      </c>
      <c r="O21" s="549">
        <v>600</v>
      </c>
      <c r="P21" s="524"/>
      <c r="Q21" s="546">
        <v>32</v>
      </c>
      <c r="R21" s="547">
        <v>1</v>
      </c>
      <c r="S21" s="548">
        <v>3</v>
      </c>
      <c r="T21" s="549">
        <v>600</v>
      </c>
    </row>
    <row r="22" spans="2:20" ht="12.75" customHeight="1">
      <c r="B22" s="524"/>
      <c r="C22" s="524"/>
      <c r="D22" s="524"/>
      <c r="E22" s="524"/>
      <c r="F22" s="524"/>
      <c r="G22" s="524"/>
      <c r="H22" s="524"/>
      <c r="I22" s="524"/>
      <c r="J22" s="524"/>
      <c r="K22" s="524"/>
      <c r="L22" s="554">
        <v>12</v>
      </c>
      <c r="M22" s="555" t="s">
        <v>119</v>
      </c>
      <c r="N22" s="556">
        <v>1</v>
      </c>
      <c r="O22" s="557">
        <v>300</v>
      </c>
      <c r="P22" s="524"/>
      <c r="Q22" s="554">
        <v>12</v>
      </c>
      <c r="R22" s="555" t="s">
        <v>119</v>
      </c>
      <c r="S22" s="556">
        <v>1</v>
      </c>
      <c r="T22" s="557">
        <v>300</v>
      </c>
    </row>
    <row r="23" spans="2:20" ht="12.75" customHeight="1">
      <c r="B23" s="524"/>
      <c r="C23" s="524"/>
      <c r="D23" s="524"/>
      <c r="E23" s="524"/>
      <c r="F23" s="524"/>
      <c r="G23" s="524"/>
      <c r="H23" s="524"/>
      <c r="I23" s="524"/>
      <c r="J23" s="524"/>
      <c r="K23" s="524"/>
      <c r="L23" s="524"/>
      <c r="M23" s="524"/>
      <c r="N23" s="524"/>
      <c r="O23" s="524"/>
      <c r="P23" s="524"/>
      <c r="Q23" s="524"/>
      <c r="R23" s="524"/>
      <c r="S23" s="524"/>
      <c r="T23" s="524"/>
    </row>
    <row r="24" spans="2:20" ht="12.75" customHeight="1">
      <c r="B24" s="572" t="s">
        <v>809</v>
      </c>
    </row>
    <row r="25" spans="2:20" ht="12.75" customHeight="1">
      <c r="B25" s="572" t="s">
        <v>810</v>
      </c>
    </row>
    <row r="26" spans="2:20">
      <c r="B26" s="572" t="s">
        <v>811</v>
      </c>
      <c r="N26" s="595" t="s">
        <v>816</v>
      </c>
      <c r="O26" s="596"/>
      <c r="P26" s="597"/>
    </row>
    <row r="27" spans="2:20">
      <c r="B27" s="573" t="s">
        <v>812</v>
      </c>
      <c r="N27" s="598"/>
      <c r="O27" s="599"/>
      <c r="P27" s="600"/>
    </row>
    <row r="28" spans="2:20">
      <c r="B28" s="573" t="s">
        <v>813</v>
      </c>
      <c r="N28" s="598"/>
      <c r="O28" s="599"/>
      <c r="P28" s="600"/>
    </row>
    <row r="29" spans="2:20">
      <c r="N29" s="598"/>
      <c r="O29" s="599"/>
      <c r="P29" s="600"/>
    </row>
    <row r="30" spans="2:20">
      <c r="N30" s="598"/>
      <c r="O30" s="599"/>
      <c r="P30" s="600"/>
    </row>
    <row r="31" spans="2:20">
      <c r="N31" s="601"/>
      <c r="O31" s="602"/>
      <c r="P31" s="603"/>
    </row>
  </sheetData>
  <sheetProtection sheet="1" objects="1" scenarios="1" selectLockedCells="1"/>
  <mergeCells count="1">
    <mergeCell ref="N26:P31"/>
  </mergeCells>
  <hyperlinks>
    <hyperlink ref="G2" location="Home!A1" display="Home" xr:uid="{18489EE4-AEB8-4473-B9C4-24F13FC1AAA0}"/>
    <hyperlink ref="B27" r:id="rId1" xr:uid="{DB5E8674-78FA-4F42-A5F6-FB294C6B760B}"/>
    <hyperlink ref="B28" r:id="rId2" xr:uid="{66B48D22-744E-4B9F-9DAF-29D860221ED6}"/>
  </hyperlinks>
  <pageMargins left="0.25" right="0.25" top="0.75" bottom="0.75" header="0.3" footer="0.3"/>
  <pageSetup paperSize="9" scale="88" orientation="landscape" horizontalDpi="300" verticalDpi="300"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DE6EF-5EBC-469F-8410-995FA97C120C}">
  <sheetPr codeName="Sheet31">
    <pageSetUpPr fitToPage="1"/>
  </sheetPr>
  <dimension ref="B2:T29"/>
  <sheetViews>
    <sheetView showGridLines="0" showRowColHeaders="0" zoomScale="85" zoomScaleNormal="85" workbookViewId="0">
      <selection activeCell="G2" sqref="G2"/>
    </sheetView>
  </sheetViews>
  <sheetFormatPr defaultRowHeight="15"/>
  <cols>
    <col min="1" max="1" width="9.140625" style="68"/>
    <col min="2" max="2" width="11.85546875" style="68" customWidth="1"/>
    <col min="3" max="3" width="7.42578125" style="68" customWidth="1"/>
    <col min="4" max="4" width="11.28515625" style="68" customWidth="1"/>
    <col min="5" max="5" width="6.85546875" style="68" customWidth="1"/>
    <col min="6" max="6" width="2.28515625" style="68" customWidth="1"/>
    <col min="7" max="7" width="11.85546875" style="68" customWidth="1"/>
    <col min="8" max="8" width="7.42578125" style="68" customWidth="1"/>
    <col min="9" max="9" width="11.28515625" style="68" customWidth="1"/>
    <col min="10" max="10" width="6.85546875" style="68" customWidth="1"/>
    <col min="11" max="11" width="2.28515625" style="68" customWidth="1"/>
    <col min="12" max="12" width="11.85546875" style="68" customWidth="1"/>
    <col min="13" max="13" width="7.42578125" style="68" customWidth="1"/>
    <col min="14" max="14" width="11.28515625" style="68" customWidth="1"/>
    <col min="15" max="15" width="6.85546875" style="68" customWidth="1"/>
    <col min="16" max="16" width="2.28515625" style="68" customWidth="1"/>
    <col min="17" max="17" width="11.85546875" style="68" customWidth="1"/>
    <col min="18" max="18" width="7.42578125" style="68" customWidth="1"/>
    <col min="19" max="19" width="11.28515625" style="68" customWidth="1"/>
    <col min="20" max="20" width="6.85546875" style="68" customWidth="1"/>
    <col min="21" max="16384" width="9.140625" style="68"/>
  </cols>
  <sheetData>
    <row r="2" spans="2:20" ht="20.25">
      <c r="B2" s="146" t="s">
        <v>627</v>
      </c>
      <c r="G2" s="592" t="s">
        <v>298</v>
      </c>
    </row>
    <row r="3" spans="2:20" ht="12.75" customHeight="1"/>
    <row r="4" spans="2:20" ht="12.75" customHeight="1">
      <c r="B4" s="525" t="s">
        <v>416</v>
      </c>
      <c r="C4" s="526"/>
      <c r="D4" s="526" t="s">
        <v>138</v>
      </c>
      <c r="E4" s="527"/>
      <c r="F4" s="524"/>
      <c r="G4" s="525" t="s">
        <v>418</v>
      </c>
      <c r="H4" s="526"/>
      <c r="I4" s="526" t="s">
        <v>138</v>
      </c>
      <c r="J4" s="527"/>
      <c r="K4" s="524"/>
      <c r="L4" s="525" t="s">
        <v>420</v>
      </c>
      <c r="M4" s="526"/>
      <c r="N4" s="526" t="s">
        <v>138</v>
      </c>
      <c r="O4" s="527"/>
      <c r="P4" s="524"/>
      <c r="Q4" s="525" t="s">
        <v>421</v>
      </c>
      <c r="R4" s="526"/>
      <c r="S4" s="526" t="s">
        <v>138</v>
      </c>
      <c r="T4" s="527"/>
    </row>
    <row r="5" spans="2:20" ht="12.75" customHeight="1">
      <c r="B5" s="529"/>
      <c r="C5" s="524"/>
      <c r="D5" s="524"/>
      <c r="E5" s="530"/>
      <c r="F5" s="524"/>
      <c r="G5" s="529"/>
      <c r="H5" s="524"/>
      <c r="I5" s="524"/>
      <c r="J5" s="530"/>
      <c r="K5" s="524"/>
      <c r="L5" s="529"/>
      <c r="M5" s="524"/>
      <c r="N5" s="524"/>
      <c r="O5" s="530"/>
      <c r="P5" s="524"/>
      <c r="Q5" s="529"/>
      <c r="R5" s="524"/>
      <c r="S5" s="524"/>
      <c r="T5" s="530"/>
    </row>
    <row r="6" spans="2:20" ht="12.75" customHeight="1">
      <c r="B6" s="542" t="s">
        <v>52</v>
      </c>
      <c r="C6" s="543" t="s">
        <v>117</v>
      </c>
      <c r="D6" s="544" t="s">
        <v>118</v>
      </c>
      <c r="E6" s="545" t="s">
        <v>2</v>
      </c>
      <c r="F6" s="524"/>
      <c r="G6" s="542" t="s">
        <v>52</v>
      </c>
      <c r="H6" s="543" t="s">
        <v>117</v>
      </c>
      <c r="I6" s="544" t="s">
        <v>118</v>
      </c>
      <c r="J6" s="545" t="s">
        <v>2</v>
      </c>
      <c r="K6" s="524"/>
      <c r="L6" s="542" t="s">
        <v>52</v>
      </c>
      <c r="M6" s="543" t="s">
        <v>117</v>
      </c>
      <c r="N6" s="544" t="s">
        <v>118</v>
      </c>
      <c r="O6" s="545" t="s">
        <v>2</v>
      </c>
      <c r="P6" s="524"/>
      <c r="Q6" s="542" t="s">
        <v>52</v>
      </c>
      <c r="R6" s="543" t="s">
        <v>117</v>
      </c>
      <c r="S6" s="544" t="s">
        <v>118</v>
      </c>
      <c r="T6" s="545" t="s">
        <v>2</v>
      </c>
    </row>
    <row r="7" spans="2:20" ht="12.75" customHeight="1">
      <c r="B7" s="550">
        <v>100</v>
      </c>
      <c r="C7" s="551">
        <v>7</v>
      </c>
      <c r="D7" s="552">
        <v>15</v>
      </c>
      <c r="E7" s="553">
        <v>1100</v>
      </c>
      <c r="F7" s="524"/>
      <c r="G7" s="550">
        <v>160</v>
      </c>
      <c r="H7" s="551">
        <v>7</v>
      </c>
      <c r="I7" s="552">
        <v>15</v>
      </c>
      <c r="J7" s="553">
        <v>1500</v>
      </c>
      <c r="K7" s="524"/>
      <c r="L7" s="550">
        <v>160</v>
      </c>
      <c r="M7" s="551">
        <v>7</v>
      </c>
      <c r="N7" s="552">
        <v>14</v>
      </c>
      <c r="O7" s="553">
        <v>1500</v>
      </c>
      <c r="P7" s="524"/>
      <c r="Q7" s="550">
        <v>125</v>
      </c>
      <c r="R7" s="551">
        <v>5</v>
      </c>
      <c r="S7" s="552">
        <v>11</v>
      </c>
      <c r="T7" s="553">
        <v>1200</v>
      </c>
    </row>
    <row r="8" spans="2:20" ht="12.75" customHeight="1">
      <c r="B8" s="550">
        <v>80</v>
      </c>
      <c r="C8" s="551">
        <v>5</v>
      </c>
      <c r="D8" s="552">
        <v>11</v>
      </c>
      <c r="E8" s="553">
        <v>930</v>
      </c>
      <c r="F8" s="524"/>
      <c r="G8" s="550">
        <v>125</v>
      </c>
      <c r="H8" s="551">
        <v>5</v>
      </c>
      <c r="I8" s="552">
        <v>11</v>
      </c>
      <c r="J8" s="553">
        <v>1125</v>
      </c>
      <c r="K8" s="524"/>
      <c r="L8" s="550">
        <v>125</v>
      </c>
      <c r="M8" s="551">
        <v>5</v>
      </c>
      <c r="N8" s="552">
        <v>10</v>
      </c>
      <c r="O8" s="553">
        <v>1125</v>
      </c>
      <c r="P8" s="524"/>
      <c r="Q8" s="550">
        <v>80</v>
      </c>
      <c r="R8" s="551">
        <v>3</v>
      </c>
      <c r="S8" s="552">
        <v>7</v>
      </c>
      <c r="T8" s="553">
        <v>1050</v>
      </c>
    </row>
    <row r="9" spans="2:20" ht="12.75" customHeight="1">
      <c r="B9" s="550">
        <v>50</v>
      </c>
      <c r="C9" s="551">
        <v>3</v>
      </c>
      <c r="D9" s="552">
        <v>7</v>
      </c>
      <c r="E9" s="553">
        <v>700</v>
      </c>
      <c r="F9" s="524"/>
      <c r="G9" s="550">
        <v>80</v>
      </c>
      <c r="H9" s="551">
        <v>3</v>
      </c>
      <c r="I9" s="552">
        <v>7</v>
      </c>
      <c r="J9" s="553">
        <v>850</v>
      </c>
      <c r="K9" s="524"/>
      <c r="L9" s="550">
        <v>80</v>
      </c>
      <c r="M9" s="551">
        <v>3</v>
      </c>
      <c r="N9" s="552">
        <v>7</v>
      </c>
      <c r="O9" s="553">
        <v>850</v>
      </c>
      <c r="P9" s="524"/>
      <c r="Q9" s="546">
        <v>40</v>
      </c>
      <c r="R9" s="547">
        <v>1</v>
      </c>
      <c r="S9" s="548">
        <v>3</v>
      </c>
      <c r="T9" s="549">
        <v>750</v>
      </c>
    </row>
    <row r="10" spans="2:20" ht="12.75" customHeight="1">
      <c r="B10" s="546">
        <v>20</v>
      </c>
      <c r="C10" s="547">
        <v>1</v>
      </c>
      <c r="D10" s="548">
        <v>3</v>
      </c>
      <c r="E10" s="549">
        <v>550</v>
      </c>
      <c r="F10" s="524"/>
      <c r="G10" s="546">
        <v>32</v>
      </c>
      <c r="H10" s="547">
        <v>1</v>
      </c>
      <c r="I10" s="548">
        <v>3</v>
      </c>
      <c r="J10" s="549">
        <v>600</v>
      </c>
      <c r="K10" s="524"/>
      <c r="L10" s="546">
        <v>32</v>
      </c>
      <c r="M10" s="547">
        <v>1</v>
      </c>
      <c r="N10" s="548">
        <v>3</v>
      </c>
      <c r="O10" s="549">
        <v>600</v>
      </c>
      <c r="P10" s="524"/>
      <c r="Q10" s="554">
        <v>12.5</v>
      </c>
      <c r="R10" s="555" t="s">
        <v>119</v>
      </c>
      <c r="S10" s="556">
        <v>1</v>
      </c>
      <c r="T10" s="557">
        <v>500</v>
      </c>
    </row>
    <row r="11" spans="2:20" ht="12.75" customHeight="1">
      <c r="B11" s="554">
        <v>8</v>
      </c>
      <c r="C11" s="555" t="s">
        <v>119</v>
      </c>
      <c r="D11" s="556">
        <v>1</v>
      </c>
      <c r="E11" s="557">
        <v>250</v>
      </c>
      <c r="F11" s="524"/>
      <c r="G11" s="554">
        <v>12</v>
      </c>
      <c r="H11" s="555" t="s">
        <v>119</v>
      </c>
      <c r="I11" s="556">
        <v>1</v>
      </c>
      <c r="J11" s="557">
        <v>350</v>
      </c>
      <c r="K11" s="524"/>
      <c r="L11" s="554">
        <v>12</v>
      </c>
      <c r="M11" s="555" t="s">
        <v>119</v>
      </c>
      <c r="N11" s="556">
        <v>1</v>
      </c>
      <c r="O11" s="557">
        <v>350</v>
      </c>
      <c r="P11" s="524"/>
      <c r="Q11" s="524"/>
      <c r="R11" s="524"/>
      <c r="S11" s="524"/>
      <c r="T11" s="524"/>
    </row>
    <row r="12" spans="2:20" ht="12.75" customHeight="1">
      <c r="B12" s="524"/>
      <c r="C12" s="524"/>
      <c r="D12" s="524"/>
      <c r="E12" s="524"/>
      <c r="F12" s="524"/>
      <c r="G12" s="524"/>
      <c r="H12" s="524"/>
      <c r="I12" s="524"/>
      <c r="J12" s="524"/>
      <c r="K12" s="524"/>
      <c r="L12" s="524"/>
      <c r="M12" s="524"/>
      <c r="N12" s="524"/>
      <c r="O12" s="524"/>
      <c r="P12" s="524"/>
      <c r="Q12" s="524"/>
      <c r="R12" s="524"/>
      <c r="S12" s="524"/>
      <c r="T12" s="524"/>
    </row>
    <row r="13" spans="2:20" ht="12.75" customHeight="1">
      <c r="B13" s="525" t="s">
        <v>417</v>
      </c>
      <c r="C13" s="526"/>
      <c r="D13" s="526" t="s">
        <v>138</v>
      </c>
      <c r="E13" s="527"/>
      <c r="F13" s="524"/>
      <c r="G13" s="525" t="s">
        <v>419</v>
      </c>
      <c r="H13" s="526"/>
      <c r="I13" s="526" t="s">
        <v>138</v>
      </c>
      <c r="J13" s="527"/>
      <c r="K13" s="524"/>
      <c r="L13" s="525" t="s">
        <v>245</v>
      </c>
      <c r="M13" s="526"/>
      <c r="N13" s="526" t="s">
        <v>138</v>
      </c>
      <c r="O13" s="527"/>
      <c r="P13" s="524"/>
      <c r="Q13" s="524"/>
      <c r="R13" s="524"/>
      <c r="S13" s="524"/>
      <c r="T13" s="524"/>
    </row>
    <row r="14" spans="2:20" ht="12.75" customHeight="1">
      <c r="B14" s="529"/>
      <c r="C14" s="524"/>
      <c r="D14" s="524"/>
      <c r="E14" s="530"/>
      <c r="F14" s="524"/>
      <c r="G14" s="529"/>
      <c r="H14" s="524"/>
      <c r="I14" s="524"/>
      <c r="J14" s="530"/>
      <c r="K14" s="524"/>
      <c r="L14" s="529"/>
      <c r="M14" s="524"/>
      <c r="N14" s="524"/>
      <c r="O14" s="530"/>
      <c r="P14" s="524"/>
      <c r="Q14" s="524"/>
      <c r="R14" s="524"/>
      <c r="S14" s="524"/>
      <c r="T14" s="524"/>
    </row>
    <row r="15" spans="2:20" ht="12.75" customHeight="1">
      <c r="B15" s="542" t="s">
        <v>52</v>
      </c>
      <c r="C15" s="543" t="s">
        <v>117</v>
      </c>
      <c r="D15" s="544" t="s">
        <v>118</v>
      </c>
      <c r="E15" s="545" t="s">
        <v>2</v>
      </c>
      <c r="F15" s="524"/>
      <c r="G15" s="542" t="s">
        <v>52</v>
      </c>
      <c r="H15" s="543" t="s">
        <v>117</v>
      </c>
      <c r="I15" s="544" t="s">
        <v>118</v>
      </c>
      <c r="J15" s="545" t="s">
        <v>2</v>
      </c>
      <c r="K15" s="524"/>
      <c r="L15" s="542" t="s">
        <v>52</v>
      </c>
      <c r="M15" s="543" t="s">
        <v>117</v>
      </c>
      <c r="N15" s="544" t="s">
        <v>118</v>
      </c>
      <c r="O15" s="545" t="s">
        <v>2</v>
      </c>
      <c r="P15" s="524"/>
      <c r="Q15" s="524"/>
      <c r="R15" s="524"/>
      <c r="S15" s="524"/>
      <c r="T15" s="524"/>
    </row>
    <row r="16" spans="2:20" ht="12.75" customHeight="1">
      <c r="B16" s="550">
        <v>160</v>
      </c>
      <c r="C16" s="551">
        <v>7</v>
      </c>
      <c r="D16" s="552">
        <v>15</v>
      </c>
      <c r="E16" s="553">
        <v>1500</v>
      </c>
      <c r="F16" s="524"/>
      <c r="G16" s="550">
        <v>200</v>
      </c>
      <c r="H16" s="551">
        <v>9</v>
      </c>
      <c r="I16" s="552">
        <v>18</v>
      </c>
      <c r="J16" s="553">
        <v>1750</v>
      </c>
      <c r="K16" s="524"/>
      <c r="L16" s="550">
        <v>160</v>
      </c>
      <c r="M16" s="551">
        <v>7</v>
      </c>
      <c r="N16" s="552">
        <v>14</v>
      </c>
      <c r="O16" s="553">
        <v>1500</v>
      </c>
      <c r="P16" s="524"/>
      <c r="Q16" s="524"/>
      <c r="R16" s="524"/>
      <c r="S16" s="524"/>
      <c r="T16" s="524"/>
    </row>
    <row r="17" spans="2:20" ht="12.75" customHeight="1">
      <c r="B17" s="550">
        <v>125</v>
      </c>
      <c r="C17" s="551">
        <v>5</v>
      </c>
      <c r="D17" s="552">
        <v>11</v>
      </c>
      <c r="E17" s="553">
        <v>1125</v>
      </c>
      <c r="F17" s="524"/>
      <c r="G17" s="550">
        <v>160</v>
      </c>
      <c r="H17" s="551">
        <v>7</v>
      </c>
      <c r="I17" s="552">
        <v>15</v>
      </c>
      <c r="J17" s="553">
        <v>1500</v>
      </c>
      <c r="K17" s="524"/>
      <c r="L17" s="550">
        <v>125</v>
      </c>
      <c r="M17" s="551">
        <v>5</v>
      </c>
      <c r="N17" s="552">
        <v>10</v>
      </c>
      <c r="O17" s="553">
        <v>1125</v>
      </c>
      <c r="P17" s="524"/>
      <c r="Q17" s="524"/>
      <c r="R17" s="524"/>
      <c r="S17" s="524"/>
      <c r="T17" s="524"/>
    </row>
    <row r="18" spans="2:20" ht="12.75" customHeight="1">
      <c r="B18" s="550">
        <v>80</v>
      </c>
      <c r="C18" s="551">
        <v>3</v>
      </c>
      <c r="D18" s="552">
        <v>7</v>
      </c>
      <c r="E18" s="553">
        <v>850</v>
      </c>
      <c r="F18" s="524"/>
      <c r="G18" s="550">
        <v>125</v>
      </c>
      <c r="H18" s="551">
        <v>5</v>
      </c>
      <c r="I18" s="552">
        <v>11</v>
      </c>
      <c r="J18" s="553">
        <v>1125</v>
      </c>
      <c r="K18" s="524"/>
      <c r="L18" s="550">
        <v>80</v>
      </c>
      <c r="M18" s="551">
        <v>3</v>
      </c>
      <c r="N18" s="552">
        <v>7</v>
      </c>
      <c r="O18" s="553">
        <v>850</v>
      </c>
      <c r="P18" s="524"/>
      <c r="Q18" s="524"/>
      <c r="R18" s="524"/>
      <c r="S18" s="524"/>
      <c r="T18" s="524"/>
    </row>
    <row r="19" spans="2:20" ht="12.75" customHeight="1">
      <c r="B19" s="546">
        <v>32</v>
      </c>
      <c r="C19" s="547">
        <v>1</v>
      </c>
      <c r="D19" s="548">
        <v>3</v>
      </c>
      <c r="E19" s="549">
        <v>600</v>
      </c>
      <c r="F19" s="524"/>
      <c r="G19" s="550">
        <v>80</v>
      </c>
      <c r="H19" s="551">
        <v>3</v>
      </c>
      <c r="I19" s="552">
        <v>7</v>
      </c>
      <c r="J19" s="553">
        <v>850</v>
      </c>
      <c r="K19" s="524"/>
      <c r="L19" s="546">
        <v>32</v>
      </c>
      <c r="M19" s="547">
        <v>1</v>
      </c>
      <c r="N19" s="548">
        <v>3</v>
      </c>
      <c r="O19" s="549">
        <v>600</v>
      </c>
      <c r="P19" s="524"/>
      <c r="Q19" s="524"/>
      <c r="R19" s="524"/>
      <c r="S19" s="524"/>
      <c r="T19" s="524"/>
    </row>
    <row r="20" spans="2:20" ht="12.75" customHeight="1">
      <c r="B20" s="554">
        <v>12</v>
      </c>
      <c r="C20" s="555" t="s">
        <v>119</v>
      </c>
      <c r="D20" s="556">
        <v>1</v>
      </c>
      <c r="E20" s="557">
        <v>350</v>
      </c>
      <c r="F20" s="524"/>
      <c r="G20" s="546">
        <v>32</v>
      </c>
      <c r="H20" s="547">
        <v>1</v>
      </c>
      <c r="I20" s="548">
        <v>3</v>
      </c>
      <c r="J20" s="549">
        <v>600</v>
      </c>
      <c r="K20" s="524"/>
      <c r="L20" s="554">
        <v>12</v>
      </c>
      <c r="M20" s="555" t="s">
        <v>119</v>
      </c>
      <c r="N20" s="556">
        <v>1</v>
      </c>
      <c r="O20" s="557">
        <v>350</v>
      </c>
      <c r="P20" s="524"/>
      <c r="Q20" s="524"/>
      <c r="R20" s="524"/>
      <c r="S20" s="524"/>
      <c r="T20" s="524"/>
    </row>
    <row r="21" spans="2:20" ht="12.75" customHeight="1">
      <c r="B21" s="524"/>
      <c r="C21" s="524"/>
      <c r="D21" s="524"/>
      <c r="E21" s="524"/>
      <c r="F21" s="524"/>
      <c r="G21" s="554">
        <v>12</v>
      </c>
      <c r="H21" s="555" t="s">
        <v>119</v>
      </c>
      <c r="I21" s="556">
        <v>1</v>
      </c>
      <c r="J21" s="557">
        <v>350</v>
      </c>
      <c r="K21" s="524"/>
      <c r="L21" s="524"/>
      <c r="M21" s="524"/>
      <c r="N21" s="524"/>
      <c r="O21" s="524"/>
      <c r="P21" s="524"/>
      <c r="Q21" s="524"/>
      <c r="R21" s="524"/>
      <c r="S21" s="524"/>
      <c r="T21" s="524"/>
    </row>
    <row r="22" spans="2:20" ht="12.75" customHeight="1">
      <c r="B22" s="524"/>
      <c r="C22" s="524"/>
      <c r="D22" s="524"/>
      <c r="E22" s="524"/>
      <c r="F22" s="524"/>
      <c r="G22" s="524"/>
      <c r="H22" s="524"/>
      <c r="I22" s="524"/>
      <c r="J22" s="524"/>
      <c r="K22" s="524"/>
      <c r="L22" s="524"/>
      <c r="M22" s="524"/>
      <c r="N22" s="524"/>
      <c r="O22" s="524"/>
      <c r="P22" s="524"/>
      <c r="Q22" s="524"/>
      <c r="R22" s="524"/>
      <c r="S22" s="524"/>
      <c r="T22" s="524"/>
    </row>
    <row r="23" spans="2:20" ht="12.75" customHeight="1">
      <c r="B23" s="572" t="s">
        <v>809</v>
      </c>
    </row>
    <row r="24" spans="2:20" ht="12.75" customHeight="1">
      <c r="B24" s="572" t="s">
        <v>810</v>
      </c>
      <c r="O24" s="595" t="s">
        <v>816</v>
      </c>
      <c r="P24" s="596"/>
      <c r="Q24" s="597"/>
    </row>
    <row r="25" spans="2:20">
      <c r="B25" s="572" t="s">
        <v>811</v>
      </c>
      <c r="O25" s="598"/>
      <c r="P25" s="599"/>
      <c r="Q25" s="600"/>
    </row>
    <row r="26" spans="2:20">
      <c r="B26" s="573" t="s">
        <v>812</v>
      </c>
      <c r="O26" s="598"/>
      <c r="P26" s="599"/>
      <c r="Q26" s="600"/>
    </row>
    <row r="27" spans="2:20">
      <c r="B27" s="573" t="s">
        <v>813</v>
      </c>
      <c r="O27" s="598"/>
      <c r="P27" s="599"/>
      <c r="Q27" s="600"/>
    </row>
    <row r="28" spans="2:20">
      <c r="O28" s="598"/>
      <c r="P28" s="599"/>
      <c r="Q28" s="600"/>
    </row>
    <row r="29" spans="2:20">
      <c r="O29" s="601"/>
      <c r="P29" s="602"/>
      <c r="Q29" s="603"/>
    </row>
  </sheetData>
  <sheetProtection sheet="1" objects="1" scenarios="1" selectLockedCells="1"/>
  <mergeCells count="1">
    <mergeCell ref="O24:Q29"/>
  </mergeCells>
  <hyperlinks>
    <hyperlink ref="G2" location="Home!A1" display="Home" xr:uid="{C7A5799D-97DC-48DE-A8BC-0877129225DA}"/>
    <hyperlink ref="B26" r:id="rId1" xr:uid="{4BF4CA6E-883C-4C99-8564-38522B5AFC74}"/>
    <hyperlink ref="B27" r:id="rId2" xr:uid="{6A1C435D-5CB7-46D0-A2C9-E76DB74B3C5E}"/>
  </hyperlinks>
  <pageMargins left="0.25" right="0.25" top="0.75" bottom="0.75" header="0.3" footer="0.3"/>
  <pageSetup paperSize="9" scale="88" orientation="landscape" horizontalDpi="300" verticalDpi="3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6F444-7E3D-49E5-A109-84263F6EAA6A}">
  <sheetPr codeName="Sheet11">
    <pageSetUpPr fitToPage="1"/>
  </sheetPr>
  <dimension ref="B2:K52"/>
  <sheetViews>
    <sheetView showGridLines="0" showRowColHeaders="0" workbookViewId="0">
      <selection activeCell="H2" sqref="H2"/>
    </sheetView>
  </sheetViews>
  <sheetFormatPr defaultRowHeight="15"/>
  <cols>
    <col min="1" max="1" width="9.140625" style="68"/>
    <col min="2" max="2" width="7.42578125" style="68" customWidth="1"/>
    <col min="3" max="3" width="14.42578125" style="68" customWidth="1"/>
    <col min="4" max="11" width="10.7109375" style="68" customWidth="1"/>
    <col min="12" max="16384" width="9.140625" style="68"/>
  </cols>
  <sheetData>
    <row r="2" spans="2:11" ht="18" customHeight="1">
      <c r="B2" s="146" t="s">
        <v>686</v>
      </c>
      <c r="D2" s="88"/>
      <c r="E2" s="88"/>
      <c r="F2" s="88"/>
      <c r="G2" s="88"/>
      <c r="H2" s="592" t="s">
        <v>298</v>
      </c>
      <c r="I2" s="88"/>
      <c r="J2" s="88"/>
      <c r="K2" s="1"/>
    </row>
    <row r="3" spans="2:11" ht="18" customHeight="1">
      <c r="C3" s="88"/>
      <c r="D3" s="88"/>
      <c r="E3" s="88"/>
      <c r="F3" s="88"/>
      <c r="G3" s="88"/>
      <c r="H3" s="88"/>
      <c r="I3" s="88"/>
      <c r="J3" s="88"/>
      <c r="K3" s="88"/>
    </row>
    <row r="4" spans="2:11" ht="18" customHeight="1">
      <c r="C4" s="88"/>
      <c r="D4" s="104" t="s">
        <v>355</v>
      </c>
      <c r="E4" s="104"/>
      <c r="F4" s="104"/>
      <c r="G4" s="104" t="s">
        <v>567</v>
      </c>
      <c r="H4" s="104"/>
      <c r="I4" s="104"/>
      <c r="J4" s="104"/>
      <c r="K4" s="147" t="s">
        <v>568</v>
      </c>
    </row>
    <row r="5" spans="2:11" ht="18" customHeight="1">
      <c r="C5" s="88"/>
      <c r="D5" s="96"/>
      <c r="E5" s="96"/>
      <c r="F5" s="96"/>
      <c r="G5" s="96"/>
      <c r="H5" s="96"/>
      <c r="I5" s="96"/>
      <c r="J5" s="96"/>
      <c r="K5" s="96"/>
    </row>
    <row r="6" spans="2:11" ht="18" customHeight="1">
      <c r="C6" s="88"/>
      <c r="D6" s="96"/>
      <c r="E6" s="96"/>
      <c r="F6" s="96"/>
      <c r="G6" s="96"/>
      <c r="H6" s="96"/>
      <c r="I6" s="96"/>
      <c r="J6" s="96"/>
      <c r="K6" s="96"/>
    </row>
    <row r="7" spans="2:11" ht="18" customHeight="1">
      <c r="C7" s="88"/>
      <c r="D7" s="96"/>
      <c r="E7" s="96"/>
      <c r="F7" s="96"/>
      <c r="G7" s="96"/>
      <c r="H7" s="96"/>
      <c r="I7" s="96"/>
      <c r="J7" s="96"/>
      <c r="K7" s="96"/>
    </row>
    <row r="8" spans="2:11" ht="18" customHeight="1">
      <c r="C8" s="88"/>
      <c r="D8" s="96"/>
      <c r="E8" s="96"/>
      <c r="F8" s="96"/>
      <c r="G8" s="96"/>
      <c r="H8" s="96"/>
      <c r="I8" s="96"/>
      <c r="J8" s="96"/>
      <c r="K8" s="96"/>
    </row>
    <row r="9" spans="2:11" ht="18" customHeight="1">
      <c r="C9" s="88"/>
      <c r="D9" s="96"/>
      <c r="E9" s="96"/>
      <c r="F9" s="96"/>
      <c r="G9" s="96"/>
      <c r="H9" s="96"/>
      <c r="I9" s="96"/>
      <c r="J9" s="96"/>
      <c r="K9" s="96"/>
    </row>
    <row r="10" spans="2:11" ht="18" customHeight="1">
      <c r="C10" s="88"/>
      <c r="D10" s="96"/>
      <c r="E10" s="96"/>
      <c r="F10" s="96"/>
      <c r="G10" s="96"/>
      <c r="H10" s="96"/>
      <c r="I10" s="96"/>
      <c r="J10" s="96"/>
      <c r="K10" s="96"/>
    </row>
    <row r="11" spans="2:11" ht="18" customHeight="1">
      <c r="C11" s="88"/>
      <c r="D11" s="96"/>
      <c r="E11" s="96"/>
      <c r="F11" s="96"/>
      <c r="G11" s="96"/>
      <c r="H11" s="96"/>
      <c r="I11" s="96"/>
      <c r="J11" s="96"/>
      <c r="K11" s="96"/>
    </row>
    <row r="12" spans="2:11" ht="21.95" customHeight="1">
      <c r="C12" s="88"/>
      <c r="D12" s="95" t="s">
        <v>388</v>
      </c>
      <c r="E12" s="95" t="s">
        <v>389</v>
      </c>
      <c r="F12" s="95" t="s">
        <v>390</v>
      </c>
      <c r="G12" s="96" t="s">
        <v>391</v>
      </c>
      <c r="H12" s="96"/>
      <c r="I12" s="96"/>
      <c r="J12" s="95" t="s">
        <v>389</v>
      </c>
      <c r="K12" s="95" t="s">
        <v>392</v>
      </c>
    </row>
    <row r="13" spans="2:11" ht="21.95" customHeight="1">
      <c r="C13" s="88"/>
      <c r="D13" s="95"/>
      <c r="E13" s="95"/>
      <c r="F13" s="95"/>
      <c r="G13" s="96"/>
      <c r="H13" s="96"/>
      <c r="I13" s="96"/>
      <c r="J13" s="95"/>
      <c r="K13" s="95"/>
    </row>
    <row r="14" spans="2:11" ht="21.95" customHeight="1">
      <c r="C14" s="88"/>
      <c r="D14" s="95"/>
      <c r="E14" s="95"/>
      <c r="F14" s="95"/>
      <c r="G14" s="97" t="s">
        <v>394</v>
      </c>
      <c r="H14" s="97" t="s">
        <v>395</v>
      </c>
      <c r="I14" s="97" t="s">
        <v>396</v>
      </c>
      <c r="J14" s="97" t="s">
        <v>397</v>
      </c>
      <c r="K14" s="97" t="s">
        <v>397</v>
      </c>
    </row>
    <row r="15" spans="2:11" ht="18" customHeight="1">
      <c r="C15" s="148" t="s">
        <v>518</v>
      </c>
      <c r="D15" s="149">
        <v>1</v>
      </c>
      <c r="E15" s="148">
        <v>0.75</v>
      </c>
      <c r="F15" s="148">
        <v>1.3</v>
      </c>
      <c r="G15" s="148">
        <v>1.73</v>
      </c>
      <c r="H15" s="148">
        <v>1.41</v>
      </c>
      <c r="I15" s="148">
        <v>1</v>
      </c>
      <c r="J15" s="148">
        <v>1.3</v>
      </c>
      <c r="K15" s="148">
        <v>2.25</v>
      </c>
    </row>
    <row r="16" spans="2:11" ht="18" customHeight="1">
      <c r="C16" s="148" t="s">
        <v>569</v>
      </c>
      <c r="D16" s="150"/>
      <c r="E16" s="150"/>
      <c r="F16" s="150"/>
      <c r="G16" s="150"/>
      <c r="H16" s="150"/>
      <c r="I16" s="150"/>
      <c r="J16" s="150"/>
      <c r="K16" s="149"/>
    </row>
    <row r="17" spans="2:11">
      <c r="B17" s="558" t="s">
        <v>570</v>
      </c>
      <c r="C17" s="97">
        <v>6</v>
      </c>
      <c r="D17" s="151">
        <v>1.1000000000000001</v>
      </c>
      <c r="E17" s="152">
        <v>0.8</v>
      </c>
      <c r="F17" s="152">
        <v>1.4</v>
      </c>
      <c r="G17" s="152">
        <v>1.9</v>
      </c>
      <c r="H17" s="152">
        <v>1.6</v>
      </c>
      <c r="I17" s="152">
        <v>1.1000000000000001</v>
      </c>
      <c r="J17" s="152">
        <v>1.4</v>
      </c>
      <c r="K17" s="152">
        <v>2.5</v>
      </c>
    </row>
    <row r="18" spans="2:11" hidden="1">
      <c r="B18" s="559" t="s">
        <v>571</v>
      </c>
      <c r="C18" s="153">
        <v>6</v>
      </c>
      <c r="D18" s="154">
        <v>1.4</v>
      </c>
      <c r="E18" s="155">
        <v>1.1000000000000001</v>
      </c>
      <c r="F18" s="155">
        <v>1.8</v>
      </c>
      <c r="G18" s="152">
        <v>2.4</v>
      </c>
      <c r="H18" s="155">
        <v>2</v>
      </c>
      <c r="I18" s="155">
        <v>1.4</v>
      </c>
      <c r="J18" s="155">
        <v>1.8</v>
      </c>
      <c r="K18" s="155">
        <v>3.2</v>
      </c>
    </row>
    <row r="19" spans="2:11" hidden="1">
      <c r="B19" s="560" t="s">
        <v>803</v>
      </c>
      <c r="C19" s="156">
        <v>6</v>
      </c>
      <c r="D19" s="157">
        <v>1.8</v>
      </c>
      <c r="E19" s="158">
        <v>1.4</v>
      </c>
      <c r="F19" s="158">
        <v>2.2999999999999998</v>
      </c>
      <c r="G19" s="152">
        <v>3.1</v>
      </c>
      <c r="H19" s="158">
        <v>2.5</v>
      </c>
      <c r="I19" s="158">
        <v>1.8</v>
      </c>
      <c r="J19" s="158">
        <v>2.2999999999999998</v>
      </c>
      <c r="K19" s="158">
        <v>4.0999999999999996</v>
      </c>
    </row>
    <row r="20" spans="2:11">
      <c r="B20" s="558" t="s">
        <v>570</v>
      </c>
      <c r="C20" s="97">
        <v>7</v>
      </c>
      <c r="D20" s="151">
        <v>1.5</v>
      </c>
      <c r="E20" s="152">
        <v>1.1000000000000001</v>
      </c>
      <c r="F20" s="152">
        <v>2</v>
      </c>
      <c r="G20" s="152">
        <v>2.6</v>
      </c>
      <c r="H20" s="152">
        <v>2.1</v>
      </c>
      <c r="I20" s="152">
        <v>1.5</v>
      </c>
      <c r="J20" s="152">
        <v>2</v>
      </c>
      <c r="K20" s="152">
        <v>3.4</v>
      </c>
    </row>
    <row r="21" spans="2:11" hidden="1">
      <c r="B21" s="559" t="s">
        <v>571</v>
      </c>
      <c r="C21" s="153">
        <v>7</v>
      </c>
      <c r="D21" s="154">
        <v>1.9</v>
      </c>
      <c r="E21" s="155">
        <v>1.4</v>
      </c>
      <c r="F21" s="155">
        <v>2.5</v>
      </c>
      <c r="G21" s="152">
        <v>3.3</v>
      </c>
      <c r="H21" s="155">
        <v>2.7</v>
      </c>
      <c r="I21" s="155">
        <v>1.9</v>
      </c>
      <c r="J21" s="155">
        <v>2.5</v>
      </c>
      <c r="K21" s="155">
        <v>4.3</v>
      </c>
    </row>
    <row r="22" spans="2:11">
      <c r="B22" s="558" t="s">
        <v>570</v>
      </c>
      <c r="C22" s="97">
        <v>8</v>
      </c>
      <c r="D22" s="151">
        <v>2</v>
      </c>
      <c r="E22" s="152">
        <v>1.5</v>
      </c>
      <c r="F22" s="152">
        <v>2.6</v>
      </c>
      <c r="G22" s="152">
        <v>3.5</v>
      </c>
      <c r="H22" s="152">
        <v>2.8</v>
      </c>
      <c r="I22" s="152">
        <v>2</v>
      </c>
      <c r="J22" s="152">
        <v>2.6</v>
      </c>
      <c r="K22" s="152">
        <v>4.5</v>
      </c>
    </row>
    <row r="23" spans="2:11" hidden="1">
      <c r="B23" s="559" t="s">
        <v>571</v>
      </c>
      <c r="C23" s="153">
        <v>8</v>
      </c>
      <c r="D23" s="154">
        <v>2.5</v>
      </c>
      <c r="E23" s="155">
        <v>1.9</v>
      </c>
      <c r="F23" s="155">
        <v>3.3</v>
      </c>
      <c r="G23" s="152">
        <v>4.3</v>
      </c>
      <c r="H23" s="155">
        <v>3.5</v>
      </c>
      <c r="I23" s="155">
        <v>2.5</v>
      </c>
      <c r="J23" s="155">
        <v>3.3</v>
      </c>
      <c r="K23" s="155">
        <v>5.6</v>
      </c>
    </row>
    <row r="24" spans="2:11" hidden="1">
      <c r="B24" s="560" t="s">
        <v>803</v>
      </c>
      <c r="C24" s="156">
        <v>8</v>
      </c>
      <c r="D24" s="157">
        <v>3</v>
      </c>
      <c r="E24" s="158">
        <v>2.2999999999999998</v>
      </c>
      <c r="F24" s="158">
        <v>3.9</v>
      </c>
      <c r="G24" s="152">
        <v>5.2</v>
      </c>
      <c r="H24" s="158">
        <v>4.2</v>
      </c>
      <c r="I24" s="158">
        <v>3</v>
      </c>
      <c r="J24" s="158">
        <v>3.9</v>
      </c>
      <c r="K24" s="158">
        <v>6.8</v>
      </c>
    </row>
    <row r="25" spans="2:11">
      <c r="B25" s="558" t="s">
        <v>570</v>
      </c>
      <c r="C25" s="97">
        <v>10</v>
      </c>
      <c r="D25" s="151">
        <v>3.2</v>
      </c>
      <c r="E25" s="152">
        <v>2.4</v>
      </c>
      <c r="F25" s="152">
        <v>4.2</v>
      </c>
      <c r="G25" s="152">
        <v>5.5</v>
      </c>
      <c r="H25" s="152">
        <v>4.5</v>
      </c>
      <c r="I25" s="152">
        <v>3.2</v>
      </c>
      <c r="J25" s="152">
        <v>4.2</v>
      </c>
      <c r="K25" s="152">
        <v>7.2</v>
      </c>
    </row>
    <row r="26" spans="2:11" hidden="1">
      <c r="B26" s="559" t="s">
        <v>571</v>
      </c>
      <c r="C26" s="153">
        <v>10</v>
      </c>
      <c r="D26" s="154">
        <v>4</v>
      </c>
      <c r="E26" s="155">
        <v>3</v>
      </c>
      <c r="F26" s="155">
        <v>5.2</v>
      </c>
      <c r="G26" s="152">
        <v>6.9</v>
      </c>
      <c r="H26" s="155">
        <v>5.6</v>
      </c>
      <c r="I26" s="155">
        <v>4</v>
      </c>
      <c r="J26" s="155">
        <v>5.2</v>
      </c>
      <c r="K26" s="155">
        <v>9</v>
      </c>
    </row>
    <row r="27" spans="2:11" hidden="1">
      <c r="B27" s="560" t="s">
        <v>803</v>
      </c>
      <c r="C27" s="156">
        <v>10</v>
      </c>
      <c r="D27" s="157">
        <v>5</v>
      </c>
      <c r="E27" s="158">
        <v>3.8</v>
      </c>
      <c r="F27" s="158">
        <v>6.5</v>
      </c>
      <c r="G27" s="152">
        <v>8.6999999999999993</v>
      </c>
      <c r="H27" s="158">
        <v>7.1</v>
      </c>
      <c r="I27" s="158">
        <v>5</v>
      </c>
      <c r="J27" s="158">
        <v>6.5</v>
      </c>
      <c r="K27" s="158">
        <v>11.3</v>
      </c>
    </row>
    <row r="28" spans="2:11">
      <c r="B28" s="558" t="s">
        <v>570</v>
      </c>
      <c r="C28" s="97">
        <v>13</v>
      </c>
      <c r="D28" s="151">
        <v>5.3</v>
      </c>
      <c r="E28" s="152">
        <v>4</v>
      </c>
      <c r="F28" s="152">
        <v>6.9</v>
      </c>
      <c r="G28" s="152">
        <v>9.1999999999999993</v>
      </c>
      <c r="H28" s="152">
        <v>7.5</v>
      </c>
      <c r="I28" s="152">
        <v>5.3</v>
      </c>
      <c r="J28" s="152">
        <v>6.9</v>
      </c>
      <c r="K28" s="152">
        <v>11.9</v>
      </c>
    </row>
    <row r="29" spans="2:11" hidden="1">
      <c r="B29" s="559" t="s">
        <v>571</v>
      </c>
      <c r="C29" s="153">
        <v>13</v>
      </c>
      <c r="D29" s="154">
        <v>6.7</v>
      </c>
      <c r="E29" s="155">
        <v>5</v>
      </c>
      <c r="F29" s="155">
        <v>8.6999999999999993</v>
      </c>
      <c r="G29" s="152">
        <v>11.6</v>
      </c>
      <c r="H29" s="155">
        <v>9.4</v>
      </c>
      <c r="I29" s="155">
        <v>6.7</v>
      </c>
      <c r="J29" s="155">
        <v>8.6999999999999993</v>
      </c>
      <c r="K29" s="155">
        <v>15.1</v>
      </c>
    </row>
    <row r="30" spans="2:11" hidden="1">
      <c r="B30" s="560" t="s">
        <v>803</v>
      </c>
      <c r="C30" s="156">
        <v>13</v>
      </c>
      <c r="D30" s="157">
        <v>8</v>
      </c>
      <c r="E30" s="158">
        <v>6</v>
      </c>
      <c r="F30" s="158">
        <v>10.4</v>
      </c>
      <c r="G30" s="152">
        <v>13.8</v>
      </c>
      <c r="H30" s="158">
        <v>11.3</v>
      </c>
      <c r="I30" s="158">
        <v>8</v>
      </c>
      <c r="J30" s="158">
        <v>10.4</v>
      </c>
      <c r="K30" s="158">
        <v>18</v>
      </c>
    </row>
    <row r="31" spans="2:11">
      <c r="B31" s="558" t="s">
        <v>570</v>
      </c>
      <c r="C31" s="97">
        <v>16</v>
      </c>
      <c r="D31" s="151">
        <v>8</v>
      </c>
      <c r="E31" s="152">
        <v>6</v>
      </c>
      <c r="F31" s="152">
        <v>10.4</v>
      </c>
      <c r="G31" s="152">
        <v>13.8</v>
      </c>
      <c r="H31" s="152">
        <v>11.3</v>
      </c>
      <c r="I31" s="152">
        <v>8</v>
      </c>
      <c r="J31" s="152">
        <v>10.4</v>
      </c>
      <c r="K31" s="152">
        <v>18</v>
      </c>
    </row>
    <row r="32" spans="2:11" hidden="1">
      <c r="B32" s="559" t="s">
        <v>571</v>
      </c>
      <c r="C32" s="153">
        <v>16</v>
      </c>
      <c r="D32" s="154">
        <v>10</v>
      </c>
      <c r="E32" s="155">
        <v>7.5</v>
      </c>
      <c r="F32" s="155">
        <v>13</v>
      </c>
      <c r="G32" s="152">
        <v>17.3</v>
      </c>
      <c r="H32" s="155">
        <v>14.1</v>
      </c>
      <c r="I32" s="155">
        <v>10</v>
      </c>
      <c r="J32" s="155">
        <v>13</v>
      </c>
      <c r="K32" s="155">
        <v>22.5</v>
      </c>
    </row>
    <row r="33" spans="2:11" hidden="1">
      <c r="B33" s="560" t="s">
        <v>803</v>
      </c>
      <c r="C33" s="156">
        <v>16</v>
      </c>
      <c r="D33" s="157">
        <v>12.5</v>
      </c>
      <c r="E33" s="158">
        <v>9.4</v>
      </c>
      <c r="F33" s="158">
        <v>16.3</v>
      </c>
      <c r="G33" s="152">
        <v>21.6</v>
      </c>
      <c r="H33" s="158">
        <v>17.600000000000001</v>
      </c>
      <c r="I33" s="158">
        <v>12.5</v>
      </c>
      <c r="J33" s="158">
        <v>16.3</v>
      </c>
      <c r="K33" s="158">
        <v>28.1</v>
      </c>
    </row>
    <row r="34" spans="2:11" hidden="1">
      <c r="B34" s="559" t="s">
        <v>571</v>
      </c>
      <c r="C34" s="153">
        <v>18</v>
      </c>
      <c r="D34" s="154">
        <v>12.5</v>
      </c>
      <c r="E34" s="155">
        <v>9.4</v>
      </c>
      <c r="F34" s="155">
        <v>16.3</v>
      </c>
      <c r="G34" s="152">
        <v>21.6</v>
      </c>
      <c r="H34" s="155">
        <v>17.600000000000001</v>
      </c>
      <c r="I34" s="155">
        <v>12.5</v>
      </c>
      <c r="J34" s="155">
        <v>16.3</v>
      </c>
      <c r="K34" s="155">
        <v>28.1</v>
      </c>
    </row>
    <row r="35" spans="2:11">
      <c r="B35" s="558" t="s">
        <v>570</v>
      </c>
      <c r="C35" s="97">
        <v>19</v>
      </c>
      <c r="D35" s="151">
        <v>11.2</v>
      </c>
      <c r="E35" s="152">
        <v>8.4</v>
      </c>
      <c r="F35" s="152">
        <v>14.6</v>
      </c>
      <c r="G35" s="152">
        <v>19.399999999999999</v>
      </c>
      <c r="H35" s="152">
        <v>15.8</v>
      </c>
      <c r="I35" s="152">
        <v>11.2</v>
      </c>
      <c r="J35" s="152">
        <v>14.6</v>
      </c>
      <c r="K35" s="152">
        <v>25.2</v>
      </c>
    </row>
    <row r="36" spans="2:11" hidden="1">
      <c r="B36" s="559" t="s">
        <v>571</v>
      </c>
      <c r="C36" s="153">
        <v>19</v>
      </c>
      <c r="D36" s="154">
        <v>14</v>
      </c>
      <c r="E36" s="155">
        <v>10.5</v>
      </c>
      <c r="F36" s="155">
        <v>18.2</v>
      </c>
      <c r="G36" s="152">
        <v>24.2</v>
      </c>
      <c r="H36" s="155">
        <v>19.7</v>
      </c>
      <c r="I36" s="155">
        <v>14</v>
      </c>
      <c r="J36" s="155">
        <v>18.2</v>
      </c>
      <c r="K36" s="155">
        <v>31.5</v>
      </c>
    </row>
    <row r="37" spans="2:11">
      <c r="B37" s="558" t="s">
        <v>570</v>
      </c>
      <c r="C37" s="97">
        <v>20</v>
      </c>
      <c r="D37" s="151">
        <v>12.5</v>
      </c>
      <c r="E37" s="152">
        <v>9.4</v>
      </c>
      <c r="F37" s="152">
        <v>16.3</v>
      </c>
      <c r="G37" s="152">
        <v>21.6</v>
      </c>
      <c r="H37" s="152">
        <v>17.600000000000001</v>
      </c>
      <c r="I37" s="152">
        <v>12.5</v>
      </c>
      <c r="J37" s="152">
        <v>16.3</v>
      </c>
      <c r="K37" s="152">
        <v>28.1</v>
      </c>
    </row>
    <row r="38" spans="2:11" hidden="1">
      <c r="B38" s="559" t="s">
        <v>571</v>
      </c>
      <c r="C38" s="153">
        <v>20</v>
      </c>
      <c r="D38" s="154">
        <v>16</v>
      </c>
      <c r="E38" s="155">
        <v>12</v>
      </c>
      <c r="F38" s="155">
        <v>20.8</v>
      </c>
      <c r="G38" s="152">
        <v>27.7</v>
      </c>
      <c r="H38" s="155">
        <v>22.6</v>
      </c>
      <c r="I38" s="155">
        <v>16</v>
      </c>
      <c r="J38" s="155">
        <v>20.8</v>
      </c>
      <c r="K38" s="155">
        <v>36</v>
      </c>
    </row>
    <row r="39" spans="2:11">
      <c r="B39" s="558" t="s">
        <v>570</v>
      </c>
      <c r="C39" s="97">
        <v>22</v>
      </c>
      <c r="D39" s="151">
        <v>15</v>
      </c>
      <c r="E39" s="152">
        <v>11.3</v>
      </c>
      <c r="F39" s="152">
        <v>19.5</v>
      </c>
      <c r="G39" s="152">
        <v>26</v>
      </c>
      <c r="H39" s="152">
        <v>21.2</v>
      </c>
      <c r="I39" s="152">
        <v>15</v>
      </c>
      <c r="J39" s="152">
        <v>19.5</v>
      </c>
      <c r="K39" s="152">
        <v>33.799999999999997</v>
      </c>
    </row>
    <row r="40" spans="2:11" hidden="1">
      <c r="B40" s="559" t="s">
        <v>571</v>
      </c>
      <c r="C40" s="153">
        <v>22</v>
      </c>
      <c r="D40" s="154">
        <v>19</v>
      </c>
      <c r="E40" s="155">
        <v>14.3</v>
      </c>
      <c r="F40" s="155">
        <v>24.7</v>
      </c>
      <c r="G40" s="152">
        <v>32.9</v>
      </c>
      <c r="H40" s="155">
        <v>26.8</v>
      </c>
      <c r="I40" s="155">
        <v>19</v>
      </c>
      <c r="J40" s="155">
        <v>24.7</v>
      </c>
      <c r="K40" s="155">
        <v>42.8</v>
      </c>
    </row>
    <row r="41" spans="2:11" hidden="1">
      <c r="B41" s="559" t="s">
        <v>571</v>
      </c>
      <c r="C41" s="153">
        <v>23</v>
      </c>
      <c r="D41" s="154">
        <v>21</v>
      </c>
      <c r="E41" s="155">
        <v>15.8</v>
      </c>
      <c r="F41" s="155">
        <v>27.3</v>
      </c>
      <c r="G41" s="152">
        <v>36.299999999999997</v>
      </c>
      <c r="H41" s="155">
        <v>29.6</v>
      </c>
      <c r="I41" s="155">
        <v>21</v>
      </c>
      <c r="J41" s="155">
        <v>27.3</v>
      </c>
      <c r="K41" s="155">
        <v>47.3</v>
      </c>
    </row>
    <row r="42" spans="2:11">
      <c r="B42" s="558" t="s">
        <v>570</v>
      </c>
      <c r="C42" s="97">
        <v>26</v>
      </c>
      <c r="D42" s="151">
        <v>21.2</v>
      </c>
      <c r="E42" s="152">
        <v>15.9</v>
      </c>
      <c r="F42" s="152">
        <v>27.6</v>
      </c>
      <c r="G42" s="152">
        <v>36.700000000000003</v>
      </c>
      <c r="H42" s="152">
        <v>29.9</v>
      </c>
      <c r="I42" s="152">
        <v>21.2</v>
      </c>
      <c r="J42" s="152">
        <v>27.6</v>
      </c>
      <c r="K42" s="152">
        <v>47.7</v>
      </c>
    </row>
    <row r="43" spans="2:11" hidden="1">
      <c r="B43" s="559" t="s">
        <v>571</v>
      </c>
      <c r="C43" s="153">
        <v>26</v>
      </c>
      <c r="D43" s="154">
        <v>26.5</v>
      </c>
      <c r="E43" s="155">
        <v>19.899999999999999</v>
      </c>
      <c r="F43" s="155">
        <v>34.5</v>
      </c>
      <c r="G43" s="152">
        <v>45.8</v>
      </c>
      <c r="H43" s="155">
        <v>37.4</v>
      </c>
      <c r="I43" s="155">
        <v>26.5</v>
      </c>
      <c r="J43" s="155">
        <v>34.5</v>
      </c>
      <c r="K43" s="155">
        <v>59.6</v>
      </c>
    </row>
    <row r="44" spans="2:11" hidden="1">
      <c r="B44" s="559" t="s">
        <v>571</v>
      </c>
      <c r="C44" s="153">
        <v>28</v>
      </c>
      <c r="D44" s="154">
        <v>31.5</v>
      </c>
      <c r="E44" s="155">
        <v>23.6</v>
      </c>
      <c r="F44" s="155">
        <v>41</v>
      </c>
      <c r="G44" s="152">
        <v>54.5</v>
      </c>
      <c r="H44" s="155">
        <v>44.4</v>
      </c>
      <c r="I44" s="155">
        <v>31.5</v>
      </c>
      <c r="J44" s="155">
        <v>41</v>
      </c>
      <c r="K44" s="155">
        <v>70.900000000000006</v>
      </c>
    </row>
    <row r="45" spans="2:11">
      <c r="B45" s="558" t="s">
        <v>570</v>
      </c>
      <c r="C45" s="97">
        <v>32</v>
      </c>
      <c r="D45" s="151">
        <v>31.5</v>
      </c>
      <c r="E45" s="152">
        <v>23.6</v>
      </c>
      <c r="F45" s="152">
        <v>41</v>
      </c>
      <c r="G45" s="152">
        <v>54.5</v>
      </c>
      <c r="H45" s="152">
        <v>44.4</v>
      </c>
      <c r="I45" s="152">
        <v>31.5</v>
      </c>
      <c r="J45" s="152">
        <v>41</v>
      </c>
      <c r="K45" s="152">
        <v>70.900000000000006</v>
      </c>
    </row>
    <row r="46" spans="2:11" hidden="1">
      <c r="B46" s="159" t="s">
        <v>571</v>
      </c>
      <c r="C46" s="159">
        <v>32</v>
      </c>
      <c r="D46" s="155">
        <v>40</v>
      </c>
      <c r="E46" s="155">
        <v>30</v>
      </c>
      <c r="F46" s="155">
        <v>52</v>
      </c>
      <c r="G46" s="155">
        <v>69.2</v>
      </c>
      <c r="H46" s="155">
        <v>56.4</v>
      </c>
      <c r="I46" s="155">
        <v>40</v>
      </c>
      <c r="J46" s="155">
        <v>52</v>
      </c>
      <c r="K46" s="155">
        <v>90</v>
      </c>
    </row>
    <row r="48" spans="2:11">
      <c r="B48" s="572" t="s">
        <v>809</v>
      </c>
    </row>
    <row r="49" spans="2:2">
      <c r="B49" s="572" t="s">
        <v>810</v>
      </c>
    </row>
    <row r="50" spans="2:2">
      <c r="B50" s="572" t="s">
        <v>811</v>
      </c>
    </row>
    <row r="51" spans="2:2">
      <c r="B51" s="573" t="s">
        <v>812</v>
      </c>
    </row>
    <row r="52" spans="2:2">
      <c r="B52" s="573" t="s">
        <v>813</v>
      </c>
    </row>
  </sheetData>
  <sheetProtection sheet="1" objects="1" scenarios="1" selectLockedCells="1"/>
  <mergeCells count="14">
    <mergeCell ref="K5:K11"/>
    <mergeCell ref="D12:D14"/>
    <mergeCell ref="E12:E14"/>
    <mergeCell ref="F12:F14"/>
    <mergeCell ref="G12:I13"/>
    <mergeCell ref="J12:J13"/>
    <mergeCell ref="K12:K13"/>
    <mergeCell ref="D4:F4"/>
    <mergeCell ref="G4:J4"/>
    <mergeCell ref="D5:D11"/>
    <mergeCell ref="E5:E11"/>
    <mergeCell ref="F5:F11"/>
    <mergeCell ref="G5:I11"/>
    <mergeCell ref="J5:J11"/>
  </mergeCells>
  <hyperlinks>
    <hyperlink ref="H2" location="Home!A1" display="Home" xr:uid="{FE3347E2-FA58-4270-8D48-7819D5677261}"/>
    <hyperlink ref="B51" r:id="rId1" xr:uid="{A7795DA8-9A44-4F92-8646-714963D1E3AD}"/>
    <hyperlink ref="B52" r:id="rId2" xr:uid="{77F13700-9D5E-471C-9A32-9A579F8F17EE}"/>
  </hyperlinks>
  <pageMargins left="0.25" right="0.25" top="0.75" bottom="0.75" header="0.3" footer="0.3"/>
  <pageSetup paperSize="9" scale="68" orientation="landscape" horizontalDpi="300" verticalDpi="30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E882E-D01A-44D5-8C1E-37C0569E84B2}">
  <sheetPr codeName="Sheet13">
    <pageSetUpPr fitToPage="1"/>
  </sheetPr>
  <dimension ref="B2:K52"/>
  <sheetViews>
    <sheetView showGridLines="0" showRowColHeaders="0" workbookViewId="0">
      <selection activeCell="H2" sqref="H2"/>
    </sheetView>
  </sheetViews>
  <sheetFormatPr defaultRowHeight="15"/>
  <cols>
    <col min="1" max="1" width="9.140625" style="68"/>
    <col min="2" max="2" width="7.42578125" style="68" customWidth="1"/>
    <col min="3" max="3" width="14.42578125" style="68" customWidth="1"/>
    <col min="4" max="11" width="10.7109375" style="68" customWidth="1"/>
    <col min="12" max="16384" width="9.140625" style="68"/>
  </cols>
  <sheetData>
    <row r="2" spans="2:11" ht="18" customHeight="1">
      <c r="B2" s="146" t="s">
        <v>687</v>
      </c>
      <c r="D2" s="88"/>
      <c r="E2" s="88"/>
      <c r="F2" s="88"/>
      <c r="G2" s="88"/>
      <c r="H2" s="592" t="s">
        <v>298</v>
      </c>
      <c r="I2" s="88"/>
      <c r="J2" s="88"/>
      <c r="K2" s="1"/>
    </row>
    <row r="3" spans="2:11" ht="18" customHeight="1">
      <c r="C3" s="88"/>
      <c r="D3" s="88"/>
      <c r="E3" s="88"/>
      <c r="F3" s="88"/>
      <c r="G3" s="88"/>
      <c r="H3" s="88"/>
      <c r="I3" s="88"/>
      <c r="J3" s="88"/>
      <c r="K3" s="88"/>
    </row>
    <row r="4" spans="2:11" ht="18" customHeight="1">
      <c r="C4" s="88"/>
      <c r="D4" s="104" t="s">
        <v>355</v>
      </c>
      <c r="E4" s="104"/>
      <c r="F4" s="104"/>
      <c r="G4" s="104" t="s">
        <v>567</v>
      </c>
      <c r="H4" s="104"/>
      <c r="I4" s="104"/>
      <c r="J4" s="104"/>
      <c r="K4" s="147" t="s">
        <v>568</v>
      </c>
    </row>
    <row r="5" spans="2:11" ht="18" customHeight="1">
      <c r="C5" s="88"/>
      <c r="D5" s="96"/>
      <c r="E5" s="96"/>
      <c r="F5" s="96"/>
      <c r="G5" s="96"/>
      <c r="H5" s="96"/>
      <c r="I5" s="96"/>
      <c r="J5" s="96"/>
      <c r="K5" s="96"/>
    </row>
    <row r="6" spans="2:11" ht="18" customHeight="1">
      <c r="C6" s="88"/>
      <c r="D6" s="96"/>
      <c r="E6" s="96"/>
      <c r="F6" s="96"/>
      <c r="G6" s="96"/>
      <c r="H6" s="96"/>
      <c r="I6" s="96"/>
      <c r="J6" s="96"/>
      <c r="K6" s="96"/>
    </row>
    <row r="7" spans="2:11" ht="18" customHeight="1">
      <c r="C7" s="88"/>
      <c r="D7" s="96"/>
      <c r="E7" s="96"/>
      <c r="F7" s="96"/>
      <c r="G7" s="96"/>
      <c r="H7" s="96"/>
      <c r="I7" s="96"/>
      <c r="J7" s="96"/>
      <c r="K7" s="96"/>
    </row>
    <row r="8" spans="2:11" ht="18" customHeight="1">
      <c r="C8" s="88"/>
      <c r="D8" s="96"/>
      <c r="E8" s="96"/>
      <c r="F8" s="96"/>
      <c r="G8" s="96"/>
      <c r="H8" s="96"/>
      <c r="I8" s="96"/>
      <c r="J8" s="96"/>
      <c r="K8" s="96"/>
    </row>
    <row r="9" spans="2:11" ht="18" customHeight="1">
      <c r="C9" s="88"/>
      <c r="D9" s="96"/>
      <c r="E9" s="96"/>
      <c r="F9" s="96"/>
      <c r="G9" s="96"/>
      <c r="H9" s="96"/>
      <c r="I9" s="96"/>
      <c r="J9" s="96"/>
      <c r="K9" s="96"/>
    </row>
    <row r="10" spans="2:11" ht="18" customHeight="1">
      <c r="C10" s="88"/>
      <c r="D10" s="96"/>
      <c r="E10" s="96"/>
      <c r="F10" s="96"/>
      <c r="G10" s="96"/>
      <c r="H10" s="96"/>
      <c r="I10" s="96"/>
      <c r="J10" s="96"/>
      <c r="K10" s="96"/>
    </row>
    <row r="11" spans="2:11" ht="18" customHeight="1">
      <c r="C11" s="88"/>
      <c r="D11" s="96"/>
      <c r="E11" s="96"/>
      <c r="F11" s="96"/>
      <c r="G11" s="96"/>
      <c r="H11" s="96"/>
      <c r="I11" s="96"/>
      <c r="J11" s="96"/>
      <c r="K11" s="96"/>
    </row>
    <row r="12" spans="2:11" ht="21.95" customHeight="1">
      <c r="C12" s="88"/>
      <c r="D12" s="95" t="s">
        <v>388</v>
      </c>
      <c r="E12" s="95" t="s">
        <v>389</v>
      </c>
      <c r="F12" s="95" t="s">
        <v>390</v>
      </c>
      <c r="G12" s="96" t="s">
        <v>391</v>
      </c>
      <c r="H12" s="96"/>
      <c r="I12" s="96"/>
      <c r="J12" s="95" t="s">
        <v>389</v>
      </c>
      <c r="K12" s="95" t="s">
        <v>392</v>
      </c>
    </row>
    <row r="13" spans="2:11" ht="21.95" customHeight="1">
      <c r="C13" s="88"/>
      <c r="D13" s="95"/>
      <c r="E13" s="95"/>
      <c r="F13" s="95"/>
      <c r="G13" s="96"/>
      <c r="H13" s="96"/>
      <c r="I13" s="96"/>
      <c r="J13" s="95"/>
      <c r="K13" s="95"/>
    </row>
    <row r="14" spans="2:11" ht="21.95" customHeight="1">
      <c r="C14" s="88"/>
      <c r="D14" s="95"/>
      <c r="E14" s="95"/>
      <c r="F14" s="95"/>
      <c r="G14" s="97" t="s">
        <v>394</v>
      </c>
      <c r="H14" s="97" t="s">
        <v>395</v>
      </c>
      <c r="I14" s="97" t="s">
        <v>396</v>
      </c>
      <c r="J14" s="97" t="s">
        <v>397</v>
      </c>
      <c r="K14" s="97" t="s">
        <v>397</v>
      </c>
    </row>
    <row r="15" spans="2:11" ht="18" customHeight="1">
      <c r="C15" s="148" t="s">
        <v>518</v>
      </c>
      <c r="D15" s="149">
        <v>1</v>
      </c>
      <c r="E15" s="148">
        <v>0.75</v>
      </c>
      <c r="F15" s="148">
        <v>1.3</v>
      </c>
      <c r="G15" s="148">
        <v>1.73</v>
      </c>
      <c r="H15" s="148">
        <v>1.41</v>
      </c>
      <c r="I15" s="148">
        <v>1</v>
      </c>
      <c r="J15" s="148">
        <v>1.3</v>
      </c>
      <c r="K15" s="148">
        <v>2.25</v>
      </c>
    </row>
    <row r="16" spans="2:11" ht="18" customHeight="1">
      <c r="C16" s="148" t="s">
        <v>569</v>
      </c>
      <c r="D16" s="150"/>
      <c r="E16" s="150"/>
      <c r="F16" s="150"/>
      <c r="G16" s="150"/>
      <c r="H16" s="150"/>
      <c r="I16" s="150"/>
      <c r="J16" s="150"/>
      <c r="K16" s="149"/>
    </row>
    <row r="17" spans="2:11" hidden="1">
      <c r="B17" s="160" t="s">
        <v>570</v>
      </c>
      <c r="C17" s="160">
        <v>6</v>
      </c>
      <c r="D17" s="152">
        <v>1.1000000000000001</v>
      </c>
      <c r="E17" s="152">
        <v>0.8</v>
      </c>
      <c r="F17" s="152">
        <v>1.4</v>
      </c>
      <c r="G17" s="152">
        <v>1.9</v>
      </c>
      <c r="H17" s="152">
        <v>1.6</v>
      </c>
      <c r="I17" s="152">
        <v>1.1000000000000001</v>
      </c>
      <c r="J17" s="152">
        <v>1.4</v>
      </c>
      <c r="K17" s="152">
        <v>2.5</v>
      </c>
    </row>
    <row r="18" spans="2:11">
      <c r="B18" s="88"/>
      <c r="C18" s="97">
        <v>6</v>
      </c>
      <c r="D18" s="151">
        <v>1.4</v>
      </c>
      <c r="E18" s="152">
        <v>1.1000000000000001</v>
      </c>
      <c r="F18" s="152">
        <v>1.8</v>
      </c>
      <c r="G18" s="152">
        <v>2.4</v>
      </c>
      <c r="H18" s="152">
        <v>2</v>
      </c>
      <c r="I18" s="152">
        <v>1.4</v>
      </c>
      <c r="J18" s="152">
        <v>1.8</v>
      </c>
      <c r="K18" s="152">
        <v>3.2</v>
      </c>
    </row>
    <row r="19" spans="2:11" hidden="1">
      <c r="B19" s="88"/>
      <c r="C19" s="97">
        <v>6</v>
      </c>
      <c r="D19" s="151">
        <v>1.8</v>
      </c>
      <c r="E19" s="152">
        <v>1.4</v>
      </c>
      <c r="F19" s="152">
        <v>2.2999999999999998</v>
      </c>
      <c r="G19" s="152">
        <v>3.1</v>
      </c>
      <c r="H19" s="152">
        <v>2.5</v>
      </c>
      <c r="I19" s="152">
        <v>1.8</v>
      </c>
      <c r="J19" s="152">
        <v>2.2999999999999998</v>
      </c>
      <c r="K19" s="152">
        <v>4.0999999999999996</v>
      </c>
    </row>
    <row r="20" spans="2:11" hidden="1">
      <c r="B20" s="88"/>
      <c r="C20" s="97">
        <v>7</v>
      </c>
      <c r="D20" s="151">
        <v>1.5</v>
      </c>
      <c r="E20" s="152">
        <v>1.1000000000000001</v>
      </c>
      <c r="F20" s="152">
        <v>2</v>
      </c>
      <c r="G20" s="152">
        <v>2.6</v>
      </c>
      <c r="H20" s="152">
        <v>2.1</v>
      </c>
      <c r="I20" s="152">
        <v>1.5</v>
      </c>
      <c r="J20" s="152">
        <v>2</v>
      </c>
      <c r="K20" s="152">
        <v>3.4</v>
      </c>
    </row>
    <row r="21" spans="2:11">
      <c r="B21" s="88"/>
      <c r="C21" s="97">
        <v>7</v>
      </c>
      <c r="D21" s="151">
        <v>1.9</v>
      </c>
      <c r="E21" s="152">
        <v>1.4</v>
      </c>
      <c r="F21" s="152">
        <v>2.5</v>
      </c>
      <c r="G21" s="152">
        <v>3.3</v>
      </c>
      <c r="H21" s="152">
        <v>2.7</v>
      </c>
      <c r="I21" s="152">
        <v>1.9</v>
      </c>
      <c r="J21" s="152">
        <v>2.5</v>
      </c>
      <c r="K21" s="152">
        <v>4.3</v>
      </c>
    </row>
    <row r="22" spans="2:11" hidden="1">
      <c r="B22" s="88"/>
      <c r="C22" s="97">
        <v>8</v>
      </c>
      <c r="D22" s="151">
        <v>2</v>
      </c>
      <c r="E22" s="152">
        <v>1.5</v>
      </c>
      <c r="F22" s="152">
        <v>2.6</v>
      </c>
      <c r="G22" s="152">
        <v>3.5</v>
      </c>
      <c r="H22" s="152">
        <v>2.8</v>
      </c>
      <c r="I22" s="152">
        <v>2</v>
      </c>
      <c r="J22" s="152">
        <v>2.6</v>
      </c>
      <c r="K22" s="152">
        <v>4.5</v>
      </c>
    </row>
    <row r="23" spans="2:11">
      <c r="B23" s="88"/>
      <c r="C23" s="97">
        <v>8</v>
      </c>
      <c r="D23" s="151">
        <v>2.5</v>
      </c>
      <c r="E23" s="152">
        <v>1.9</v>
      </c>
      <c r="F23" s="152">
        <v>3.3</v>
      </c>
      <c r="G23" s="152">
        <v>4.3</v>
      </c>
      <c r="H23" s="152">
        <v>3.5</v>
      </c>
      <c r="I23" s="152">
        <v>2.5</v>
      </c>
      <c r="J23" s="152">
        <v>3.3</v>
      </c>
      <c r="K23" s="152">
        <v>5.6</v>
      </c>
    </row>
    <row r="24" spans="2:11" hidden="1">
      <c r="B24" s="88"/>
      <c r="C24" s="97">
        <v>8</v>
      </c>
      <c r="D24" s="151">
        <v>3</v>
      </c>
      <c r="E24" s="152">
        <v>2.2999999999999998</v>
      </c>
      <c r="F24" s="152">
        <v>3.9</v>
      </c>
      <c r="G24" s="152">
        <v>5.2</v>
      </c>
      <c r="H24" s="152">
        <v>4.2</v>
      </c>
      <c r="I24" s="152">
        <v>3</v>
      </c>
      <c r="J24" s="152">
        <v>3.9</v>
      </c>
      <c r="K24" s="152">
        <v>6.8</v>
      </c>
    </row>
    <row r="25" spans="2:11" hidden="1">
      <c r="B25" s="88"/>
      <c r="C25" s="97">
        <v>10</v>
      </c>
      <c r="D25" s="151">
        <v>3.2</v>
      </c>
      <c r="E25" s="152">
        <v>2.4</v>
      </c>
      <c r="F25" s="152">
        <v>4.2</v>
      </c>
      <c r="G25" s="152">
        <v>5.5</v>
      </c>
      <c r="H25" s="152">
        <v>4.5</v>
      </c>
      <c r="I25" s="152">
        <v>3.2</v>
      </c>
      <c r="J25" s="152">
        <v>4.2</v>
      </c>
      <c r="K25" s="152">
        <v>7.2</v>
      </c>
    </row>
    <row r="26" spans="2:11">
      <c r="B26" s="88"/>
      <c r="C26" s="97">
        <v>10</v>
      </c>
      <c r="D26" s="151">
        <v>4</v>
      </c>
      <c r="E26" s="152">
        <v>3</v>
      </c>
      <c r="F26" s="152">
        <v>5.2</v>
      </c>
      <c r="G26" s="152">
        <v>6.9</v>
      </c>
      <c r="H26" s="152">
        <v>5.6</v>
      </c>
      <c r="I26" s="152">
        <v>4</v>
      </c>
      <c r="J26" s="152">
        <v>5.2</v>
      </c>
      <c r="K26" s="152">
        <v>9</v>
      </c>
    </row>
    <row r="27" spans="2:11" hidden="1">
      <c r="B27" s="88"/>
      <c r="C27" s="97">
        <v>10</v>
      </c>
      <c r="D27" s="151">
        <v>5</v>
      </c>
      <c r="E27" s="152">
        <v>3.8</v>
      </c>
      <c r="F27" s="152">
        <v>6.5</v>
      </c>
      <c r="G27" s="152">
        <v>8.6999999999999993</v>
      </c>
      <c r="H27" s="152">
        <v>7.1</v>
      </c>
      <c r="I27" s="152">
        <v>5</v>
      </c>
      <c r="J27" s="152">
        <v>6.5</v>
      </c>
      <c r="K27" s="152">
        <v>11.3</v>
      </c>
    </row>
    <row r="28" spans="2:11" hidden="1">
      <c r="B28" s="88"/>
      <c r="C28" s="97">
        <v>13</v>
      </c>
      <c r="D28" s="151">
        <v>5.3</v>
      </c>
      <c r="E28" s="152">
        <v>4</v>
      </c>
      <c r="F28" s="152">
        <v>6.9</v>
      </c>
      <c r="G28" s="152">
        <v>9.1999999999999993</v>
      </c>
      <c r="H28" s="152">
        <v>7.5</v>
      </c>
      <c r="I28" s="152">
        <v>5.3</v>
      </c>
      <c r="J28" s="152">
        <v>6.9</v>
      </c>
      <c r="K28" s="152">
        <v>11.9</v>
      </c>
    </row>
    <row r="29" spans="2:11">
      <c r="B29" s="88"/>
      <c r="C29" s="97">
        <v>13</v>
      </c>
      <c r="D29" s="151">
        <v>6.7</v>
      </c>
      <c r="E29" s="152">
        <v>5</v>
      </c>
      <c r="F29" s="152">
        <v>8.6999999999999993</v>
      </c>
      <c r="G29" s="152">
        <v>11.6</v>
      </c>
      <c r="H29" s="152">
        <v>9.4</v>
      </c>
      <c r="I29" s="152">
        <v>6.7</v>
      </c>
      <c r="J29" s="152">
        <v>8.6999999999999993</v>
      </c>
      <c r="K29" s="152">
        <v>15.1</v>
      </c>
    </row>
    <row r="30" spans="2:11" hidden="1">
      <c r="B30" s="88"/>
      <c r="C30" s="97">
        <v>13</v>
      </c>
      <c r="D30" s="151">
        <v>8</v>
      </c>
      <c r="E30" s="152">
        <v>6</v>
      </c>
      <c r="F30" s="152">
        <v>10.4</v>
      </c>
      <c r="G30" s="152">
        <v>13.8</v>
      </c>
      <c r="H30" s="152">
        <v>11.3</v>
      </c>
      <c r="I30" s="152">
        <v>8</v>
      </c>
      <c r="J30" s="152">
        <v>10.4</v>
      </c>
      <c r="K30" s="152">
        <v>18</v>
      </c>
    </row>
    <row r="31" spans="2:11" hidden="1">
      <c r="B31" s="88"/>
      <c r="C31" s="97">
        <v>16</v>
      </c>
      <c r="D31" s="151">
        <v>8</v>
      </c>
      <c r="E31" s="152">
        <v>6</v>
      </c>
      <c r="F31" s="152">
        <v>10.4</v>
      </c>
      <c r="G31" s="152">
        <v>13.8</v>
      </c>
      <c r="H31" s="152">
        <v>11.3</v>
      </c>
      <c r="I31" s="152">
        <v>8</v>
      </c>
      <c r="J31" s="152">
        <v>10.4</v>
      </c>
      <c r="K31" s="152">
        <v>18</v>
      </c>
    </row>
    <row r="32" spans="2:11">
      <c r="B32" s="88"/>
      <c r="C32" s="97">
        <v>16</v>
      </c>
      <c r="D32" s="151">
        <v>10</v>
      </c>
      <c r="E32" s="152">
        <v>7.5</v>
      </c>
      <c r="F32" s="152">
        <v>13</v>
      </c>
      <c r="G32" s="152">
        <v>17.3</v>
      </c>
      <c r="H32" s="152">
        <v>14.1</v>
      </c>
      <c r="I32" s="152">
        <v>10</v>
      </c>
      <c r="J32" s="152">
        <v>13</v>
      </c>
      <c r="K32" s="152">
        <v>22.5</v>
      </c>
    </row>
    <row r="33" spans="2:11" hidden="1">
      <c r="B33" s="88"/>
      <c r="C33" s="97">
        <v>16</v>
      </c>
      <c r="D33" s="151">
        <v>12.5</v>
      </c>
      <c r="E33" s="152">
        <v>9.4</v>
      </c>
      <c r="F33" s="152">
        <v>16.3</v>
      </c>
      <c r="G33" s="152">
        <v>21.6</v>
      </c>
      <c r="H33" s="152">
        <v>17.600000000000001</v>
      </c>
      <c r="I33" s="152">
        <v>12.5</v>
      </c>
      <c r="J33" s="152">
        <v>16.3</v>
      </c>
      <c r="K33" s="152">
        <v>28.1</v>
      </c>
    </row>
    <row r="34" spans="2:11">
      <c r="B34" s="88"/>
      <c r="C34" s="97">
        <v>18</v>
      </c>
      <c r="D34" s="151">
        <v>12.5</v>
      </c>
      <c r="E34" s="152">
        <v>9.4</v>
      </c>
      <c r="F34" s="152">
        <v>16.3</v>
      </c>
      <c r="G34" s="152">
        <v>21.6</v>
      </c>
      <c r="H34" s="152">
        <v>17.600000000000001</v>
      </c>
      <c r="I34" s="152">
        <v>12.5</v>
      </c>
      <c r="J34" s="152">
        <v>16.3</v>
      </c>
      <c r="K34" s="152">
        <v>28.1</v>
      </c>
    </row>
    <row r="35" spans="2:11" hidden="1">
      <c r="B35" s="88"/>
      <c r="C35" s="97">
        <v>19</v>
      </c>
      <c r="D35" s="151">
        <v>11.2</v>
      </c>
      <c r="E35" s="152">
        <v>8.4</v>
      </c>
      <c r="F35" s="152">
        <v>14.6</v>
      </c>
      <c r="G35" s="152">
        <v>19.399999999999999</v>
      </c>
      <c r="H35" s="152">
        <v>15.8</v>
      </c>
      <c r="I35" s="152">
        <v>11.2</v>
      </c>
      <c r="J35" s="152">
        <v>14.6</v>
      </c>
      <c r="K35" s="152">
        <v>25.2</v>
      </c>
    </row>
    <row r="36" spans="2:11">
      <c r="B36" s="88"/>
      <c r="C36" s="97">
        <v>19</v>
      </c>
      <c r="D36" s="151">
        <v>14</v>
      </c>
      <c r="E36" s="152">
        <v>10.5</v>
      </c>
      <c r="F36" s="152">
        <v>18.2</v>
      </c>
      <c r="G36" s="152">
        <v>24.2</v>
      </c>
      <c r="H36" s="152">
        <v>19.7</v>
      </c>
      <c r="I36" s="152">
        <v>14</v>
      </c>
      <c r="J36" s="152">
        <v>18.2</v>
      </c>
      <c r="K36" s="152">
        <v>31.5</v>
      </c>
    </row>
    <row r="37" spans="2:11" hidden="1">
      <c r="B37" s="88"/>
      <c r="C37" s="97">
        <v>20</v>
      </c>
      <c r="D37" s="151">
        <v>12.5</v>
      </c>
      <c r="E37" s="152">
        <v>9.4</v>
      </c>
      <c r="F37" s="152">
        <v>16.3</v>
      </c>
      <c r="G37" s="152">
        <v>21.6</v>
      </c>
      <c r="H37" s="152">
        <v>17.600000000000001</v>
      </c>
      <c r="I37" s="152">
        <v>12.5</v>
      </c>
      <c r="J37" s="152">
        <v>16.3</v>
      </c>
      <c r="K37" s="152">
        <v>28.1</v>
      </c>
    </row>
    <row r="38" spans="2:11">
      <c r="B38" s="88"/>
      <c r="C38" s="97">
        <v>20</v>
      </c>
      <c r="D38" s="151">
        <v>16</v>
      </c>
      <c r="E38" s="152">
        <v>12</v>
      </c>
      <c r="F38" s="152">
        <v>20.8</v>
      </c>
      <c r="G38" s="152">
        <v>27.7</v>
      </c>
      <c r="H38" s="152">
        <v>22.6</v>
      </c>
      <c r="I38" s="152">
        <v>16</v>
      </c>
      <c r="J38" s="152">
        <v>20.8</v>
      </c>
      <c r="K38" s="152">
        <v>36</v>
      </c>
    </row>
    <row r="39" spans="2:11" hidden="1">
      <c r="B39" s="88"/>
      <c r="C39" s="97">
        <v>22</v>
      </c>
      <c r="D39" s="151">
        <v>15</v>
      </c>
      <c r="E39" s="152">
        <v>11.3</v>
      </c>
      <c r="F39" s="152">
        <v>19.5</v>
      </c>
      <c r="G39" s="152">
        <v>26</v>
      </c>
      <c r="H39" s="152">
        <v>21.2</v>
      </c>
      <c r="I39" s="152">
        <v>15</v>
      </c>
      <c r="J39" s="152">
        <v>19.5</v>
      </c>
      <c r="K39" s="152">
        <v>33.799999999999997</v>
      </c>
    </row>
    <row r="40" spans="2:11">
      <c r="B40" s="88"/>
      <c r="C40" s="97">
        <v>22</v>
      </c>
      <c r="D40" s="151">
        <v>19</v>
      </c>
      <c r="E40" s="152">
        <v>14.3</v>
      </c>
      <c r="F40" s="152">
        <v>24.7</v>
      </c>
      <c r="G40" s="152">
        <v>32.9</v>
      </c>
      <c r="H40" s="152">
        <v>26.8</v>
      </c>
      <c r="I40" s="152">
        <v>19</v>
      </c>
      <c r="J40" s="152">
        <v>24.7</v>
      </c>
      <c r="K40" s="152">
        <v>42.8</v>
      </c>
    </row>
    <row r="41" spans="2:11">
      <c r="B41" s="88"/>
      <c r="C41" s="97">
        <v>23</v>
      </c>
      <c r="D41" s="151">
        <v>21</v>
      </c>
      <c r="E41" s="152">
        <v>15.8</v>
      </c>
      <c r="F41" s="152">
        <v>27.3</v>
      </c>
      <c r="G41" s="152">
        <v>36.299999999999997</v>
      </c>
      <c r="H41" s="152">
        <v>29.6</v>
      </c>
      <c r="I41" s="152">
        <v>21</v>
      </c>
      <c r="J41" s="152">
        <v>27.3</v>
      </c>
      <c r="K41" s="152">
        <v>47.3</v>
      </c>
    </row>
    <row r="42" spans="2:11" hidden="1">
      <c r="B42" s="88"/>
      <c r="C42" s="97">
        <v>26</v>
      </c>
      <c r="D42" s="151">
        <v>21.2</v>
      </c>
      <c r="E42" s="152">
        <v>15.9</v>
      </c>
      <c r="F42" s="152">
        <v>27.6</v>
      </c>
      <c r="G42" s="152">
        <v>36.700000000000003</v>
      </c>
      <c r="H42" s="152">
        <v>29.9</v>
      </c>
      <c r="I42" s="152">
        <v>21.2</v>
      </c>
      <c r="J42" s="152">
        <v>27.6</v>
      </c>
      <c r="K42" s="152">
        <v>47.7</v>
      </c>
    </row>
    <row r="43" spans="2:11">
      <c r="B43" s="88"/>
      <c r="C43" s="97">
        <v>26</v>
      </c>
      <c r="D43" s="151">
        <v>26.5</v>
      </c>
      <c r="E43" s="152">
        <v>19.899999999999999</v>
      </c>
      <c r="F43" s="152">
        <v>34.5</v>
      </c>
      <c r="G43" s="152">
        <v>45.8</v>
      </c>
      <c r="H43" s="152">
        <v>37.4</v>
      </c>
      <c r="I43" s="152">
        <v>26.5</v>
      </c>
      <c r="J43" s="152">
        <v>34.5</v>
      </c>
      <c r="K43" s="152">
        <v>59.6</v>
      </c>
    </row>
    <row r="44" spans="2:11">
      <c r="B44" s="88"/>
      <c r="C44" s="97">
        <v>28</v>
      </c>
      <c r="D44" s="151">
        <v>31.5</v>
      </c>
      <c r="E44" s="152">
        <v>23.6</v>
      </c>
      <c r="F44" s="152">
        <v>41</v>
      </c>
      <c r="G44" s="152">
        <v>54.5</v>
      </c>
      <c r="H44" s="152">
        <v>44.4</v>
      </c>
      <c r="I44" s="152">
        <v>31.5</v>
      </c>
      <c r="J44" s="152">
        <v>41</v>
      </c>
      <c r="K44" s="152">
        <v>70.900000000000006</v>
      </c>
    </row>
    <row r="45" spans="2:11" hidden="1">
      <c r="B45" s="88"/>
      <c r="C45" s="97">
        <v>32</v>
      </c>
      <c r="D45" s="151">
        <v>31.5</v>
      </c>
      <c r="E45" s="152">
        <v>23.6</v>
      </c>
      <c r="F45" s="152">
        <v>41</v>
      </c>
      <c r="G45" s="152">
        <v>54.5</v>
      </c>
      <c r="H45" s="152">
        <v>44.4</v>
      </c>
      <c r="I45" s="152">
        <v>31.5</v>
      </c>
      <c r="J45" s="152">
        <v>41</v>
      </c>
      <c r="K45" s="152">
        <v>70.900000000000006</v>
      </c>
    </row>
    <row r="46" spans="2:11">
      <c r="B46" s="88"/>
      <c r="C46" s="97">
        <v>32</v>
      </c>
      <c r="D46" s="151">
        <v>40</v>
      </c>
      <c r="E46" s="152">
        <v>30</v>
      </c>
      <c r="F46" s="152">
        <v>52</v>
      </c>
      <c r="G46" s="152">
        <v>69.2</v>
      </c>
      <c r="H46" s="152">
        <v>56.4</v>
      </c>
      <c r="I46" s="152">
        <v>40</v>
      </c>
      <c r="J46" s="152">
        <v>52</v>
      </c>
      <c r="K46" s="152">
        <v>90</v>
      </c>
    </row>
    <row r="48" spans="2:11">
      <c r="B48" s="572" t="s">
        <v>809</v>
      </c>
    </row>
    <row r="49" spans="2:2">
      <c r="B49" s="572" t="s">
        <v>810</v>
      </c>
    </row>
    <row r="50" spans="2:2">
      <c r="B50" s="572" t="s">
        <v>811</v>
      </c>
    </row>
    <row r="51" spans="2:2">
      <c r="B51" s="573" t="s">
        <v>812</v>
      </c>
    </row>
    <row r="52" spans="2:2">
      <c r="B52" s="573" t="s">
        <v>813</v>
      </c>
    </row>
  </sheetData>
  <sheetProtection sheet="1" objects="1" scenarios="1" selectLockedCells="1"/>
  <mergeCells count="14">
    <mergeCell ref="D4:F4"/>
    <mergeCell ref="G4:J4"/>
    <mergeCell ref="D5:D11"/>
    <mergeCell ref="E5:E11"/>
    <mergeCell ref="F5:F11"/>
    <mergeCell ref="G5:I11"/>
    <mergeCell ref="J5:J11"/>
    <mergeCell ref="K5:K11"/>
    <mergeCell ref="D12:D14"/>
    <mergeCell ref="E12:E14"/>
    <mergeCell ref="F12:F14"/>
    <mergeCell ref="G12:I13"/>
    <mergeCell ref="J12:J13"/>
    <mergeCell ref="K12:K13"/>
  </mergeCells>
  <hyperlinks>
    <hyperlink ref="H2" location="Home!A1" display="Home" xr:uid="{BE080247-9BD6-47EC-806D-CFF40CC08F05}"/>
    <hyperlink ref="B51" r:id="rId1" xr:uid="{7CC4881F-4275-45E2-B6BE-8601A29F34A4}"/>
    <hyperlink ref="B52" r:id="rId2" xr:uid="{9E8B6170-E6F6-49AF-95D1-31F6B1E64149}"/>
  </hyperlinks>
  <pageMargins left="0.25" right="0.25" top="0.75" bottom="0.75" header="0.3" footer="0.3"/>
  <pageSetup paperSize="9" scale="68" orientation="landscape" horizontalDpi="300" verticalDpi="30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FB5E-CEA6-4418-9CD9-05197EE4DFA3}">
  <sheetPr codeName="Sheet14">
    <pageSetUpPr fitToPage="1"/>
  </sheetPr>
  <dimension ref="B2:K52"/>
  <sheetViews>
    <sheetView showGridLines="0" showRowColHeaders="0" workbookViewId="0">
      <selection activeCell="H2" sqref="H2"/>
    </sheetView>
  </sheetViews>
  <sheetFormatPr defaultRowHeight="15"/>
  <cols>
    <col min="1" max="1" width="9.140625" style="68"/>
    <col min="2" max="2" width="7.42578125" style="68" customWidth="1"/>
    <col min="3" max="3" width="14.42578125" style="68" customWidth="1"/>
    <col min="4" max="11" width="10.7109375" style="68" customWidth="1"/>
    <col min="12" max="16384" width="9.140625" style="68"/>
  </cols>
  <sheetData>
    <row r="2" spans="2:11" ht="18" customHeight="1">
      <c r="B2" s="146" t="s">
        <v>688</v>
      </c>
      <c r="D2" s="88"/>
      <c r="E2" s="88"/>
      <c r="F2" s="88"/>
      <c r="G2" s="88"/>
      <c r="H2" s="592" t="s">
        <v>298</v>
      </c>
      <c r="I2" s="88"/>
      <c r="J2" s="88"/>
      <c r="K2" s="1"/>
    </row>
    <row r="3" spans="2:11" ht="18" customHeight="1">
      <c r="C3" s="88"/>
      <c r="D3" s="88"/>
      <c r="E3" s="88"/>
      <c r="F3" s="88"/>
      <c r="G3" s="88"/>
      <c r="H3" s="88"/>
      <c r="I3" s="88"/>
      <c r="J3" s="88"/>
      <c r="K3" s="88"/>
    </row>
    <row r="4" spans="2:11" ht="18" customHeight="1">
      <c r="C4" s="88"/>
      <c r="D4" s="104" t="s">
        <v>355</v>
      </c>
      <c r="E4" s="104"/>
      <c r="F4" s="104"/>
      <c r="G4" s="104" t="s">
        <v>567</v>
      </c>
      <c r="H4" s="104"/>
      <c r="I4" s="104"/>
      <c r="J4" s="104"/>
      <c r="K4" s="147" t="s">
        <v>568</v>
      </c>
    </row>
    <row r="5" spans="2:11" ht="18" customHeight="1">
      <c r="C5" s="88"/>
      <c r="D5" s="96"/>
      <c r="E5" s="96"/>
      <c r="F5" s="96"/>
      <c r="G5" s="96"/>
      <c r="H5" s="96"/>
      <c r="I5" s="96"/>
      <c r="J5" s="96"/>
      <c r="K5" s="96"/>
    </row>
    <row r="6" spans="2:11" ht="18" customHeight="1">
      <c r="C6" s="88"/>
      <c r="D6" s="96"/>
      <c r="E6" s="96"/>
      <c r="F6" s="96"/>
      <c r="G6" s="96"/>
      <c r="H6" s="96"/>
      <c r="I6" s="96"/>
      <c r="J6" s="96"/>
      <c r="K6" s="96"/>
    </row>
    <row r="7" spans="2:11" ht="18" customHeight="1">
      <c r="C7" s="88"/>
      <c r="D7" s="96"/>
      <c r="E7" s="96"/>
      <c r="F7" s="96"/>
      <c r="G7" s="96"/>
      <c r="H7" s="96"/>
      <c r="I7" s="96"/>
      <c r="J7" s="96"/>
      <c r="K7" s="96"/>
    </row>
    <row r="8" spans="2:11" ht="18" customHeight="1">
      <c r="C8" s="88"/>
      <c r="D8" s="96"/>
      <c r="E8" s="96"/>
      <c r="F8" s="96"/>
      <c r="G8" s="96"/>
      <c r="H8" s="96"/>
      <c r="I8" s="96"/>
      <c r="J8" s="96"/>
      <c r="K8" s="96"/>
    </row>
    <row r="9" spans="2:11" ht="18" customHeight="1">
      <c r="C9" s="88"/>
      <c r="D9" s="96"/>
      <c r="E9" s="96"/>
      <c r="F9" s="96"/>
      <c r="G9" s="96"/>
      <c r="H9" s="96"/>
      <c r="I9" s="96"/>
      <c r="J9" s="96"/>
      <c r="K9" s="96"/>
    </row>
    <row r="10" spans="2:11" ht="18" customHeight="1">
      <c r="C10" s="88"/>
      <c r="D10" s="96"/>
      <c r="E10" s="96"/>
      <c r="F10" s="96"/>
      <c r="G10" s="96"/>
      <c r="H10" s="96"/>
      <c r="I10" s="96"/>
      <c r="J10" s="96"/>
      <c r="K10" s="96"/>
    </row>
    <row r="11" spans="2:11" ht="18" customHeight="1">
      <c r="C11" s="88"/>
      <c r="D11" s="96"/>
      <c r="E11" s="96"/>
      <c r="F11" s="96"/>
      <c r="G11" s="96"/>
      <c r="H11" s="96"/>
      <c r="I11" s="96"/>
      <c r="J11" s="96"/>
      <c r="K11" s="96"/>
    </row>
    <row r="12" spans="2:11" ht="21.95" customHeight="1">
      <c r="C12" s="88"/>
      <c r="D12" s="95" t="s">
        <v>388</v>
      </c>
      <c r="E12" s="95" t="s">
        <v>389</v>
      </c>
      <c r="F12" s="95" t="s">
        <v>390</v>
      </c>
      <c r="G12" s="96" t="s">
        <v>391</v>
      </c>
      <c r="H12" s="96"/>
      <c r="I12" s="96"/>
      <c r="J12" s="95" t="s">
        <v>389</v>
      </c>
      <c r="K12" s="95" t="s">
        <v>392</v>
      </c>
    </row>
    <row r="13" spans="2:11" ht="21.95" customHeight="1">
      <c r="C13" s="88"/>
      <c r="D13" s="95"/>
      <c r="E13" s="95"/>
      <c r="F13" s="95"/>
      <c r="G13" s="96"/>
      <c r="H13" s="96"/>
      <c r="I13" s="96"/>
      <c r="J13" s="95"/>
      <c r="K13" s="95"/>
    </row>
    <row r="14" spans="2:11" ht="21.95" customHeight="1">
      <c r="C14" s="88"/>
      <c r="D14" s="95"/>
      <c r="E14" s="95"/>
      <c r="F14" s="95"/>
      <c r="G14" s="97" t="s">
        <v>394</v>
      </c>
      <c r="H14" s="97" t="s">
        <v>395</v>
      </c>
      <c r="I14" s="97" t="s">
        <v>396</v>
      </c>
      <c r="J14" s="97" t="s">
        <v>397</v>
      </c>
      <c r="K14" s="97" t="s">
        <v>397</v>
      </c>
    </row>
    <row r="15" spans="2:11" ht="18" customHeight="1">
      <c r="C15" s="148" t="s">
        <v>518</v>
      </c>
      <c r="D15" s="149">
        <v>1</v>
      </c>
      <c r="E15" s="148">
        <v>0.75</v>
      </c>
      <c r="F15" s="148">
        <v>1.3</v>
      </c>
      <c r="G15" s="148">
        <v>1.73</v>
      </c>
      <c r="H15" s="148">
        <v>1.41</v>
      </c>
      <c r="I15" s="148">
        <v>1</v>
      </c>
      <c r="J15" s="148">
        <v>1.3</v>
      </c>
      <c r="K15" s="148">
        <v>2.25</v>
      </c>
    </row>
    <row r="16" spans="2:11" ht="18" customHeight="1">
      <c r="C16" s="148" t="s">
        <v>569</v>
      </c>
      <c r="D16" s="150"/>
      <c r="E16" s="150"/>
      <c r="F16" s="150"/>
      <c r="G16" s="150"/>
      <c r="H16" s="150"/>
      <c r="I16" s="150"/>
      <c r="J16" s="150"/>
      <c r="K16" s="149"/>
    </row>
    <row r="17" spans="2:11" hidden="1">
      <c r="B17" s="152" t="s">
        <v>570</v>
      </c>
      <c r="C17" s="152">
        <v>6</v>
      </c>
      <c r="D17" s="152">
        <v>1.1000000000000001</v>
      </c>
      <c r="E17" s="152">
        <v>0.8</v>
      </c>
      <c r="F17" s="152">
        <v>1.4</v>
      </c>
      <c r="G17" s="152">
        <v>1.9</v>
      </c>
      <c r="H17" s="152">
        <v>1.6</v>
      </c>
      <c r="I17" s="152">
        <v>1.1000000000000001</v>
      </c>
      <c r="J17" s="152">
        <v>1.4</v>
      </c>
      <c r="K17" s="152">
        <v>2.5</v>
      </c>
    </row>
    <row r="18" spans="2:11" hidden="1">
      <c r="B18" s="161" t="s">
        <v>571</v>
      </c>
      <c r="C18" s="161">
        <v>6</v>
      </c>
      <c r="D18" s="155">
        <v>1.4</v>
      </c>
      <c r="E18" s="155">
        <v>1.1000000000000001</v>
      </c>
      <c r="F18" s="155">
        <v>1.8</v>
      </c>
      <c r="G18" s="155">
        <v>2.4</v>
      </c>
      <c r="H18" s="155">
        <v>2</v>
      </c>
      <c r="I18" s="155">
        <v>1.4</v>
      </c>
      <c r="J18" s="155">
        <v>1.8</v>
      </c>
      <c r="K18" s="155">
        <v>3.2</v>
      </c>
    </row>
    <row r="19" spans="2:11">
      <c r="B19" s="88"/>
      <c r="C19" s="97">
        <v>6</v>
      </c>
      <c r="D19" s="151">
        <v>1.8</v>
      </c>
      <c r="E19" s="152">
        <v>1.4</v>
      </c>
      <c r="F19" s="152">
        <v>2.2999999999999998</v>
      </c>
      <c r="G19" s="152">
        <v>3.1</v>
      </c>
      <c r="H19" s="152">
        <v>2.5</v>
      </c>
      <c r="I19" s="152">
        <v>1.8</v>
      </c>
      <c r="J19" s="152">
        <v>2.2999999999999998</v>
      </c>
      <c r="K19" s="152">
        <v>4.0999999999999996</v>
      </c>
    </row>
    <row r="20" spans="2:11" hidden="1">
      <c r="B20" s="88"/>
      <c r="C20" s="97">
        <v>7</v>
      </c>
      <c r="D20" s="151">
        <v>1.5</v>
      </c>
      <c r="E20" s="152">
        <v>1.1000000000000001</v>
      </c>
      <c r="F20" s="152">
        <v>2</v>
      </c>
      <c r="G20" s="152">
        <v>2.6</v>
      </c>
      <c r="H20" s="152">
        <v>2.1</v>
      </c>
      <c r="I20" s="152">
        <v>1.5</v>
      </c>
      <c r="J20" s="152">
        <v>2</v>
      </c>
      <c r="K20" s="152">
        <v>3.4</v>
      </c>
    </row>
    <row r="21" spans="2:11" hidden="1">
      <c r="B21" s="88"/>
      <c r="C21" s="97">
        <v>7</v>
      </c>
      <c r="D21" s="151">
        <v>1.9</v>
      </c>
      <c r="E21" s="152">
        <v>1.4</v>
      </c>
      <c r="F21" s="152">
        <v>2.5</v>
      </c>
      <c r="G21" s="152">
        <v>3.3</v>
      </c>
      <c r="H21" s="152">
        <v>2.7</v>
      </c>
      <c r="I21" s="152">
        <v>1.9</v>
      </c>
      <c r="J21" s="152">
        <v>2.5</v>
      </c>
      <c r="K21" s="152">
        <v>4.3</v>
      </c>
    </row>
    <row r="22" spans="2:11" hidden="1">
      <c r="B22" s="88"/>
      <c r="C22" s="97">
        <v>8</v>
      </c>
      <c r="D22" s="151">
        <v>2</v>
      </c>
      <c r="E22" s="152">
        <v>1.5</v>
      </c>
      <c r="F22" s="152">
        <v>2.6</v>
      </c>
      <c r="G22" s="152">
        <v>3.5</v>
      </c>
      <c r="H22" s="152">
        <v>2.8</v>
      </c>
      <c r="I22" s="152">
        <v>2</v>
      </c>
      <c r="J22" s="152">
        <v>2.6</v>
      </c>
      <c r="K22" s="152">
        <v>4.5</v>
      </c>
    </row>
    <row r="23" spans="2:11" hidden="1">
      <c r="B23" s="88"/>
      <c r="C23" s="97">
        <v>8</v>
      </c>
      <c r="D23" s="151">
        <v>2.5</v>
      </c>
      <c r="E23" s="152">
        <v>1.9</v>
      </c>
      <c r="F23" s="152">
        <v>3.3</v>
      </c>
      <c r="G23" s="152">
        <v>4.3</v>
      </c>
      <c r="H23" s="152">
        <v>3.5</v>
      </c>
      <c r="I23" s="152">
        <v>2.5</v>
      </c>
      <c r="J23" s="152">
        <v>3.3</v>
      </c>
      <c r="K23" s="152">
        <v>5.6</v>
      </c>
    </row>
    <row r="24" spans="2:11">
      <c r="B24" s="88"/>
      <c r="C24" s="97">
        <v>8</v>
      </c>
      <c r="D24" s="151">
        <v>3</v>
      </c>
      <c r="E24" s="152">
        <v>2.2999999999999998</v>
      </c>
      <c r="F24" s="152">
        <v>3.9</v>
      </c>
      <c r="G24" s="152">
        <v>5.2</v>
      </c>
      <c r="H24" s="152">
        <v>4.2</v>
      </c>
      <c r="I24" s="152">
        <v>3</v>
      </c>
      <c r="J24" s="152">
        <v>3.9</v>
      </c>
      <c r="K24" s="152">
        <v>6.8</v>
      </c>
    </row>
    <row r="25" spans="2:11" hidden="1">
      <c r="B25" s="88"/>
      <c r="C25" s="97">
        <v>10</v>
      </c>
      <c r="D25" s="151">
        <v>3.2</v>
      </c>
      <c r="E25" s="152">
        <v>2.4</v>
      </c>
      <c r="F25" s="152">
        <v>4.2</v>
      </c>
      <c r="G25" s="152">
        <v>5.5</v>
      </c>
      <c r="H25" s="152">
        <v>4.5</v>
      </c>
      <c r="I25" s="152">
        <v>3.2</v>
      </c>
      <c r="J25" s="152">
        <v>4.2</v>
      </c>
      <c r="K25" s="152">
        <v>7.2</v>
      </c>
    </row>
    <row r="26" spans="2:11" hidden="1">
      <c r="B26" s="88"/>
      <c r="C26" s="97">
        <v>10</v>
      </c>
      <c r="D26" s="151">
        <v>4</v>
      </c>
      <c r="E26" s="152">
        <v>3</v>
      </c>
      <c r="F26" s="152">
        <v>5.2</v>
      </c>
      <c r="G26" s="152">
        <v>6.9</v>
      </c>
      <c r="H26" s="152">
        <v>5.6</v>
      </c>
      <c r="I26" s="152">
        <v>4</v>
      </c>
      <c r="J26" s="152">
        <v>5.2</v>
      </c>
      <c r="K26" s="152">
        <v>9</v>
      </c>
    </row>
    <row r="27" spans="2:11">
      <c r="B27" s="88"/>
      <c r="C27" s="97">
        <v>10</v>
      </c>
      <c r="D27" s="151">
        <v>5</v>
      </c>
      <c r="E27" s="152">
        <v>3.8</v>
      </c>
      <c r="F27" s="152">
        <v>6.5</v>
      </c>
      <c r="G27" s="152">
        <v>8.6999999999999993</v>
      </c>
      <c r="H27" s="152">
        <v>7.1</v>
      </c>
      <c r="I27" s="152">
        <v>5</v>
      </c>
      <c r="J27" s="152">
        <v>6.5</v>
      </c>
      <c r="K27" s="152">
        <v>11.3</v>
      </c>
    </row>
    <row r="28" spans="2:11" hidden="1">
      <c r="B28" s="88"/>
      <c r="C28" s="97">
        <v>13</v>
      </c>
      <c r="D28" s="151">
        <v>5.3</v>
      </c>
      <c r="E28" s="152">
        <v>4</v>
      </c>
      <c r="F28" s="152">
        <v>6.9</v>
      </c>
      <c r="G28" s="152">
        <v>9.1999999999999993</v>
      </c>
      <c r="H28" s="152">
        <v>7.5</v>
      </c>
      <c r="I28" s="152">
        <v>5.3</v>
      </c>
      <c r="J28" s="152">
        <v>6.9</v>
      </c>
      <c r="K28" s="152">
        <v>11.9</v>
      </c>
    </row>
    <row r="29" spans="2:11" hidden="1">
      <c r="B29" s="88"/>
      <c r="C29" s="97">
        <v>13</v>
      </c>
      <c r="D29" s="151">
        <v>6.7</v>
      </c>
      <c r="E29" s="152">
        <v>5</v>
      </c>
      <c r="F29" s="152">
        <v>8.6999999999999993</v>
      </c>
      <c r="G29" s="152">
        <v>11.6</v>
      </c>
      <c r="H29" s="152">
        <v>9.4</v>
      </c>
      <c r="I29" s="152">
        <v>6.7</v>
      </c>
      <c r="J29" s="152">
        <v>8.6999999999999993</v>
      </c>
      <c r="K29" s="152">
        <v>15.1</v>
      </c>
    </row>
    <row r="30" spans="2:11">
      <c r="B30" s="88"/>
      <c r="C30" s="97">
        <v>13</v>
      </c>
      <c r="D30" s="151">
        <v>8</v>
      </c>
      <c r="E30" s="152">
        <v>6</v>
      </c>
      <c r="F30" s="152">
        <v>10.4</v>
      </c>
      <c r="G30" s="152">
        <v>13.8</v>
      </c>
      <c r="H30" s="152">
        <v>11.3</v>
      </c>
      <c r="I30" s="152">
        <v>8</v>
      </c>
      <c r="J30" s="152">
        <v>10.4</v>
      </c>
      <c r="K30" s="152">
        <v>18</v>
      </c>
    </row>
    <row r="31" spans="2:11" hidden="1">
      <c r="B31" s="88"/>
      <c r="C31" s="97">
        <v>16</v>
      </c>
      <c r="D31" s="151">
        <v>8</v>
      </c>
      <c r="E31" s="152">
        <v>6</v>
      </c>
      <c r="F31" s="152">
        <v>10.4</v>
      </c>
      <c r="G31" s="152">
        <v>13.8</v>
      </c>
      <c r="H31" s="152">
        <v>11.3</v>
      </c>
      <c r="I31" s="152">
        <v>8</v>
      </c>
      <c r="J31" s="152">
        <v>10.4</v>
      </c>
      <c r="K31" s="152">
        <v>18</v>
      </c>
    </row>
    <row r="32" spans="2:11" hidden="1">
      <c r="B32" s="88"/>
      <c r="C32" s="97">
        <v>16</v>
      </c>
      <c r="D32" s="151">
        <v>10</v>
      </c>
      <c r="E32" s="152">
        <v>7.5</v>
      </c>
      <c r="F32" s="152">
        <v>13</v>
      </c>
      <c r="G32" s="152">
        <v>17.3</v>
      </c>
      <c r="H32" s="152">
        <v>14.1</v>
      </c>
      <c r="I32" s="152">
        <v>10</v>
      </c>
      <c r="J32" s="152">
        <v>13</v>
      </c>
      <c r="K32" s="152">
        <v>22.5</v>
      </c>
    </row>
    <row r="33" spans="2:11">
      <c r="B33" s="88"/>
      <c r="C33" s="97">
        <v>16</v>
      </c>
      <c r="D33" s="151">
        <v>12.5</v>
      </c>
      <c r="E33" s="152">
        <v>9.4</v>
      </c>
      <c r="F33" s="152">
        <v>16.3</v>
      </c>
      <c r="G33" s="152">
        <v>21.6</v>
      </c>
      <c r="H33" s="152">
        <v>17.600000000000001</v>
      </c>
      <c r="I33" s="152">
        <v>12.5</v>
      </c>
      <c r="J33" s="152">
        <v>16.3</v>
      </c>
      <c r="K33" s="152">
        <v>28.1</v>
      </c>
    </row>
    <row r="34" spans="2:11" hidden="1">
      <c r="B34" s="159" t="s">
        <v>571</v>
      </c>
      <c r="C34" s="159">
        <v>18</v>
      </c>
      <c r="D34" s="155">
        <v>12.5</v>
      </c>
      <c r="E34" s="155">
        <v>9.4</v>
      </c>
      <c r="F34" s="155">
        <v>16.3</v>
      </c>
      <c r="G34" s="155">
        <v>21.6</v>
      </c>
      <c r="H34" s="155">
        <v>17.600000000000001</v>
      </c>
      <c r="I34" s="155">
        <v>12.5</v>
      </c>
      <c r="J34" s="155">
        <v>16.3</v>
      </c>
      <c r="K34" s="155">
        <v>28.1</v>
      </c>
    </row>
    <row r="35" spans="2:11" hidden="1">
      <c r="B35" s="152" t="s">
        <v>570</v>
      </c>
      <c r="C35" s="152">
        <v>19</v>
      </c>
      <c r="D35" s="152">
        <v>11.2</v>
      </c>
      <c r="E35" s="152">
        <v>8.4</v>
      </c>
      <c r="F35" s="152">
        <v>14.6</v>
      </c>
      <c r="G35" s="152">
        <v>19.399999999999999</v>
      </c>
      <c r="H35" s="152">
        <v>15.8</v>
      </c>
      <c r="I35" s="152">
        <v>11.2</v>
      </c>
      <c r="J35" s="152">
        <v>14.6</v>
      </c>
      <c r="K35" s="152">
        <v>25.2</v>
      </c>
    </row>
    <row r="36" spans="2:11" hidden="1">
      <c r="B36" s="155" t="s">
        <v>571</v>
      </c>
      <c r="C36" s="155">
        <v>19</v>
      </c>
      <c r="D36" s="155">
        <v>14</v>
      </c>
      <c r="E36" s="155">
        <v>10.5</v>
      </c>
      <c r="F36" s="155">
        <v>18.2</v>
      </c>
      <c r="G36" s="155">
        <v>24.2</v>
      </c>
      <c r="H36" s="155">
        <v>19.7</v>
      </c>
      <c r="I36" s="155">
        <v>14</v>
      </c>
      <c r="J36" s="155">
        <v>18.2</v>
      </c>
      <c r="K36" s="155">
        <v>31.5</v>
      </c>
    </row>
    <row r="37" spans="2:11" hidden="1">
      <c r="B37" s="152" t="s">
        <v>570</v>
      </c>
      <c r="C37" s="152">
        <v>20</v>
      </c>
      <c r="D37" s="152">
        <v>12.5</v>
      </c>
      <c r="E37" s="152">
        <v>9.4</v>
      </c>
      <c r="F37" s="152">
        <v>16.3</v>
      </c>
      <c r="G37" s="152">
        <v>21.6</v>
      </c>
      <c r="H37" s="152">
        <v>17.600000000000001</v>
      </c>
      <c r="I37" s="152">
        <v>12.5</v>
      </c>
      <c r="J37" s="152">
        <v>16.3</v>
      </c>
      <c r="K37" s="152">
        <v>28.1</v>
      </c>
    </row>
    <row r="38" spans="2:11" hidden="1">
      <c r="B38" s="155" t="s">
        <v>571</v>
      </c>
      <c r="C38" s="155">
        <v>20</v>
      </c>
      <c r="D38" s="155">
        <v>16</v>
      </c>
      <c r="E38" s="155">
        <v>12</v>
      </c>
      <c r="F38" s="155">
        <v>20.8</v>
      </c>
      <c r="G38" s="155">
        <v>27.7</v>
      </c>
      <c r="H38" s="155">
        <v>22.6</v>
      </c>
      <c r="I38" s="155">
        <v>16</v>
      </c>
      <c r="J38" s="155">
        <v>20.8</v>
      </c>
      <c r="K38" s="155">
        <v>36</v>
      </c>
    </row>
    <row r="39" spans="2:11" hidden="1">
      <c r="B39" s="152" t="s">
        <v>570</v>
      </c>
      <c r="C39" s="152">
        <v>22</v>
      </c>
      <c r="D39" s="152">
        <v>15</v>
      </c>
      <c r="E39" s="152">
        <v>11.3</v>
      </c>
      <c r="F39" s="152">
        <v>19.5</v>
      </c>
      <c r="G39" s="152">
        <v>26</v>
      </c>
      <c r="H39" s="152">
        <v>21.2</v>
      </c>
      <c r="I39" s="152">
        <v>15</v>
      </c>
      <c r="J39" s="152">
        <v>19.5</v>
      </c>
      <c r="K39" s="152">
        <v>33.799999999999997</v>
      </c>
    </row>
    <row r="40" spans="2:11" hidden="1">
      <c r="B40" s="155" t="s">
        <v>571</v>
      </c>
      <c r="C40" s="155">
        <v>22</v>
      </c>
      <c r="D40" s="155">
        <v>19</v>
      </c>
      <c r="E40" s="155">
        <v>14.3</v>
      </c>
      <c r="F40" s="155">
        <v>24.7</v>
      </c>
      <c r="G40" s="155">
        <v>32.9</v>
      </c>
      <c r="H40" s="155">
        <v>26.8</v>
      </c>
      <c r="I40" s="155">
        <v>19</v>
      </c>
      <c r="J40" s="155">
        <v>24.7</v>
      </c>
      <c r="K40" s="155">
        <v>42.8</v>
      </c>
    </row>
    <row r="41" spans="2:11" hidden="1">
      <c r="B41" s="155" t="s">
        <v>571</v>
      </c>
      <c r="C41" s="155">
        <v>23</v>
      </c>
      <c r="D41" s="155">
        <v>21</v>
      </c>
      <c r="E41" s="155">
        <v>15.8</v>
      </c>
      <c r="F41" s="155">
        <v>27.3</v>
      </c>
      <c r="G41" s="155">
        <v>36.299999999999997</v>
      </c>
      <c r="H41" s="155">
        <v>29.6</v>
      </c>
      <c r="I41" s="155">
        <v>21</v>
      </c>
      <c r="J41" s="155">
        <v>27.3</v>
      </c>
      <c r="K41" s="155">
        <v>47.3</v>
      </c>
    </row>
    <row r="42" spans="2:11" hidden="1">
      <c r="B42" s="152" t="s">
        <v>570</v>
      </c>
      <c r="C42" s="152">
        <v>26</v>
      </c>
      <c r="D42" s="152">
        <v>21.2</v>
      </c>
      <c r="E42" s="152">
        <v>15.9</v>
      </c>
      <c r="F42" s="152">
        <v>27.6</v>
      </c>
      <c r="G42" s="152">
        <v>36.700000000000003</v>
      </c>
      <c r="H42" s="152">
        <v>29.9</v>
      </c>
      <c r="I42" s="152">
        <v>21.2</v>
      </c>
      <c r="J42" s="152">
        <v>27.6</v>
      </c>
      <c r="K42" s="152">
        <v>47.7</v>
      </c>
    </row>
    <row r="43" spans="2:11" hidden="1">
      <c r="B43" s="155" t="s">
        <v>571</v>
      </c>
      <c r="C43" s="155">
        <v>26</v>
      </c>
      <c r="D43" s="155">
        <v>26.5</v>
      </c>
      <c r="E43" s="155">
        <v>19.899999999999999</v>
      </c>
      <c r="F43" s="155">
        <v>34.5</v>
      </c>
      <c r="G43" s="155">
        <v>45.8</v>
      </c>
      <c r="H43" s="155">
        <v>37.4</v>
      </c>
      <c r="I43" s="155">
        <v>26.5</v>
      </c>
      <c r="J43" s="155">
        <v>34.5</v>
      </c>
      <c r="K43" s="155">
        <v>59.6</v>
      </c>
    </row>
    <row r="44" spans="2:11" hidden="1">
      <c r="B44" s="155" t="s">
        <v>571</v>
      </c>
      <c r="C44" s="155">
        <v>28</v>
      </c>
      <c r="D44" s="155">
        <v>31.5</v>
      </c>
      <c r="E44" s="155">
        <v>23.6</v>
      </c>
      <c r="F44" s="155">
        <v>41</v>
      </c>
      <c r="G44" s="155">
        <v>54.5</v>
      </c>
      <c r="H44" s="155">
        <v>44.4</v>
      </c>
      <c r="I44" s="155">
        <v>31.5</v>
      </c>
      <c r="J44" s="155">
        <v>41</v>
      </c>
      <c r="K44" s="155">
        <v>70.900000000000006</v>
      </c>
    </row>
    <row r="45" spans="2:11" hidden="1">
      <c r="B45" s="152" t="s">
        <v>570</v>
      </c>
      <c r="C45" s="152">
        <v>32</v>
      </c>
      <c r="D45" s="152">
        <v>31.5</v>
      </c>
      <c r="E45" s="152">
        <v>23.6</v>
      </c>
      <c r="F45" s="152">
        <v>41</v>
      </c>
      <c r="G45" s="152">
        <v>54.5</v>
      </c>
      <c r="H45" s="152">
        <v>44.4</v>
      </c>
      <c r="I45" s="152">
        <v>31.5</v>
      </c>
      <c r="J45" s="152">
        <v>41</v>
      </c>
      <c r="K45" s="152">
        <v>70.900000000000006</v>
      </c>
    </row>
    <row r="46" spans="2:11" hidden="1">
      <c r="B46" s="155" t="s">
        <v>571</v>
      </c>
      <c r="C46" s="155">
        <v>32</v>
      </c>
      <c r="D46" s="155">
        <v>40</v>
      </c>
      <c r="E46" s="155">
        <v>30</v>
      </c>
      <c r="F46" s="155">
        <v>52</v>
      </c>
      <c r="G46" s="155">
        <v>69.2</v>
      </c>
      <c r="H46" s="155">
        <v>56.4</v>
      </c>
      <c r="I46" s="155">
        <v>40</v>
      </c>
      <c r="J46" s="155">
        <v>52</v>
      </c>
      <c r="K46" s="155">
        <v>90</v>
      </c>
    </row>
    <row r="48" spans="2:11">
      <c r="B48" s="572" t="s">
        <v>809</v>
      </c>
    </row>
    <row r="49" spans="2:2">
      <c r="B49" s="572" t="s">
        <v>810</v>
      </c>
    </row>
    <row r="50" spans="2:2">
      <c r="B50" s="572" t="s">
        <v>811</v>
      </c>
    </row>
    <row r="51" spans="2:2">
      <c r="B51" s="573" t="s">
        <v>812</v>
      </c>
    </row>
    <row r="52" spans="2:2">
      <c r="B52" s="573" t="s">
        <v>813</v>
      </c>
    </row>
  </sheetData>
  <sheetProtection sheet="1" objects="1" scenarios="1" selectLockedCells="1"/>
  <mergeCells count="14">
    <mergeCell ref="D4:F4"/>
    <mergeCell ref="G4:J4"/>
    <mergeCell ref="D5:D11"/>
    <mergeCell ref="E5:E11"/>
    <mergeCell ref="F5:F11"/>
    <mergeCell ref="G5:I11"/>
    <mergeCell ref="J5:J11"/>
    <mergeCell ref="K5:K11"/>
    <mergeCell ref="D12:D14"/>
    <mergeCell ref="E12:E14"/>
    <mergeCell ref="F12:F14"/>
    <mergeCell ref="G12:I13"/>
    <mergeCell ref="J12:J13"/>
    <mergeCell ref="K12:K13"/>
  </mergeCells>
  <hyperlinks>
    <hyperlink ref="H2" location="Home!A1" display="Home" xr:uid="{B2B5DB66-F18F-407A-9AF7-655AC37CA236}"/>
    <hyperlink ref="B51" r:id="rId1" xr:uid="{1940331D-FFEC-4D35-846C-A9026B94F2C3}"/>
    <hyperlink ref="B52" r:id="rId2" xr:uid="{EF78C99D-6064-4E9C-9FBD-04A48F9FDF22}"/>
  </hyperlinks>
  <pageMargins left="0.25" right="0.25" top="0.75" bottom="0.75" header="0.3" footer="0.3"/>
  <pageSetup paperSize="9" scale="68" orientation="landscape" horizontalDpi="300" verticalDpi="300"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E1D32-F348-4BE8-99F6-13710123F32C}">
  <sheetPr codeName="Sheet15">
    <pageSetUpPr fitToPage="1"/>
  </sheetPr>
  <dimension ref="B1:N34"/>
  <sheetViews>
    <sheetView showGridLines="0" showRowColHeaders="0" zoomScale="90" zoomScaleNormal="90" workbookViewId="0">
      <selection activeCell="N2" sqref="N2"/>
      <extLst>
        <ext xmlns:xlsdti="http://schemas.microsoft.com/office/spreadsheetml/2023/showDataTypeIcons" uri="{77bfe23e-c014-4d31-8a63-9c772dbf06b6}">
          <xlsdti:showDataTypeIcons visible="0"/>
        </ext>
      </extLst>
    </sheetView>
  </sheetViews>
  <sheetFormatPr defaultRowHeight="12"/>
  <cols>
    <col min="1" max="1" width="5.7109375" style="88" customWidth="1"/>
    <col min="2" max="14" width="8.7109375" style="88" customWidth="1"/>
    <col min="15" max="16384" width="9.140625" style="88"/>
  </cols>
  <sheetData>
    <row r="1" spans="2:14" ht="18" customHeight="1"/>
    <row r="2" spans="2:14" ht="18" customHeight="1">
      <c r="B2" s="146" t="s">
        <v>572</v>
      </c>
      <c r="N2" s="592" t="s">
        <v>298</v>
      </c>
    </row>
    <row r="3" spans="2:14" ht="18" customHeight="1"/>
    <row r="4" spans="2:14" ht="18" customHeight="1"/>
    <row r="5" spans="2:14" ht="18" customHeight="1"/>
    <row r="6" spans="2:14" ht="18" customHeight="1"/>
    <row r="7" spans="2:14" ht="18" customHeight="1">
      <c r="B7" s="109" t="s">
        <v>573</v>
      </c>
      <c r="C7" s="109" t="s">
        <v>574</v>
      </c>
      <c r="D7" s="109" t="s">
        <v>575</v>
      </c>
      <c r="E7" s="109" t="s">
        <v>576</v>
      </c>
      <c r="F7" s="109" t="s">
        <v>577</v>
      </c>
      <c r="G7" s="109" t="s">
        <v>578</v>
      </c>
      <c r="H7" s="109" t="s">
        <v>579</v>
      </c>
      <c r="I7" s="109" t="s">
        <v>580</v>
      </c>
      <c r="J7" s="109" t="s">
        <v>581</v>
      </c>
      <c r="K7" s="109" t="s">
        <v>582</v>
      </c>
      <c r="L7" s="109" t="s">
        <v>580</v>
      </c>
      <c r="M7" s="109" t="s">
        <v>583</v>
      </c>
      <c r="N7" s="109" t="s">
        <v>584</v>
      </c>
    </row>
    <row r="8" spans="2:14" ht="18" customHeight="1">
      <c r="B8" s="109"/>
      <c r="C8" s="109"/>
      <c r="D8" s="109"/>
      <c r="E8" s="109"/>
      <c r="F8" s="109"/>
      <c r="G8" s="109"/>
      <c r="H8" s="109"/>
      <c r="I8" s="109"/>
      <c r="J8" s="109"/>
      <c r="K8" s="109"/>
      <c r="L8" s="109"/>
      <c r="M8" s="109"/>
      <c r="N8" s="109"/>
    </row>
    <row r="9" spans="2:14" ht="18" customHeight="1">
      <c r="B9" s="147" t="s">
        <v>585</v>
      </c>
      <c r="C9" s="147" t="s">
        <v>586</v>
      </c>
      <c r="D9" s="147" t="s">
        <v>587</v>
      </c>
      <c r="E9" s="147" t="s">
        <v>588</v>
      </c>
      <c r="F9" s="147" t="s">
        <v>589</v>
      </c>
      <c r="G9" s="147" t="s">
        <v>590</v>
      </c>
      <c r="H9" s="147" t="s">
        <v>591</v>
      </c>
      <c r="I9" s="147" t="s">
        <v>592</v>
      </c>
      <c r="J9" s="147" t="s">
        <v>593</v>
      </c>
      <c r="K9" s="147" t="s">
        <v>594</v>
      </c>
      <c r="L9" s="147" t="s">
        <v>595</v>
      </c>
      <c r="M9" s="147" t="s">
        <v>596</v>
      </c>
      <c r="N9" s="147" t="s">
        <v>49</v>
      </c>
    </row>
    <row r="10" spans="2:14" ht="18" customHeight="1">
      <c r="B10" s="97">
        <v>0.5</v>
      </c>
      <c r="C10" s="97">
        <v>7</v>
      </c>
      <c r="D10" s="97">
        <v>8</v>
      </c>
      <c r="E10" s="97">
        <v>17</v>
      </c>
      <c r="F10" s="97">
        <v>7</v>
      </c>
      <c r="G10" s="97">
        <v>12</v>
      </c>
      <c r="H10" s="97">
        <v>29</v>
      </c>
      <c r="I10" s="97">
        <v>20</v>
      </c>
      <c r="J10" s="97">
        <v>54</v>
      </c>
      <c r="K10" s="97">
        <v>43</v>
      </c>
      <c r="L10" s="97">
        <v>37</v>
      </c>
      <c r="M10" s="97">
        <v>4</v>
      </c>
      <c r="N10" s="97">
        <v>0</v>
      </c>
    </row>
    <row r="11" spans="2:14" ht="18" customHeight="1">
      <c r="B11" s="97">
        <v>0.75</v>
      </c>
      <c r="C11" s="97">
        <v>9</v>
      </c>
      <c r="D11" s="97">
        <v>10</v>
      </c>
      <c r="E11" s="97">
        <v>21</v>
      </c>
      <c r="F11" s="97">
        <v>9</v>
      </c>
      <c r="G11" s="97">
        <v>13.5</v>
      </c>
      <c r="H11" s="97">
        <v>32</v>
      </c>
      <c r="I11" s="97">
        <v>22</v>
      </c>
      <c r="J11" s="97">
        <v>61</v>
      </c>
      <c r="K11" s="97">
        <v>51</v>
      </c>
      <c r="L11" s="97">
        <v>42</v>
      </c>
      <c r="M11" s="97">
        <v>5</v>
      </c>
      <c r="N11" s="97">
        <v>0.1</v>
      </c>
    </row>
    <row r="12" spans="2:14" ht="18" customHeight="1">
      <c r="B12" s="97">
        <v>1</v>
      </c>
      <c r="C12" s="97">
        <v>10</v>
      </c>
      <c r="D12" s="97">
        <v>11</v>
      </c>
      <c r="E12" s="97">
        <v>23</v>
      </c>
      <c r="F12" s="97">
        <v>10</v>
      </c>
      <c r="G12" s="97">
        <v>17</v>
      </c>
      <c r="H12" s="97">
        <v>36.5</v>
      </c>
      <c r="I12" s="97">
        <v>26</v>
      </c>
      <c r="J12" s="97">
        <v>71</v>
      </c>
      <c r="K12" s="97">
        <v>61</v>
      </c>
      <c r="L12" s="97">
        <v>49</v>
      </c>
      <c r="M12" s="97">
        <v>8</v>
      </c>
      <c r="N12" s="97">
        <v>0.1</v>
      </c>
    </row>
    <row r="13" spans="2:14" ht="18" customHeight="1">
      <c r="B13" s="97">
        <v>1.5</v>
      </c>
      <c r="C13" s="97">
        <v>11</v>
      </c>
      <c r="D13" s="97">
        <v>13</v>
      </c>
      <c r="E13" s="97">
        <v>26</v>
      </c>
      <c r="F13" s="97">
        <v>11</v>
      </c>
      <c r="G13" s="97">
        <v>19</v>
      </c>
      <c r="H13" s="97">
        <v>43</v>
      </c>
      <c r="I13" s="97">
        <v>29</v>
      </c>
      <c r="J13" s="97">
        <v>80</v>
      </c>
      <c r="K13" s="97">
        <v>68</v>
      </c>
      <c r="L13" s="97">
        <v>54</v>
      </c>
      <c r="M13" s="97">
        <v>11</v>
      </c>
      <c r="N13" s="97">
        <v>0.2</v>
      </c>
    </row>
    <row r="14" spans="2:14" ht="18" customHeight="1">
      <c r="B14" s="97">
        <v>2</v>
      </c>
      <c r="C14" s="97">
        <v>13.5</v>
      </c>
      <c r="D14" s="97">
        <v>16</v>
      </c>
      <c r="E14" s="97">
        <v>34</v>
      </c>
      <c r="F14" s="97">
        <v>13.5</v>
      </c>
      <c r="G14" s="97">
        <v>22</v>
      </c>
      <c r="H14" s="97">
        <v>51</v>
      </c>
      <c r="I14" s="97">
        <v>32</v>
      </c>
      <c r="J14" s="97">
        <v>91</v>
      </c>
      <c r="K14" s="97">
        <v>83</v>
      </c>
      <c r="L14" s="97">
        <v>63</v>
      </c>
      <c r="M14" s="97">
        <v>13</v>
      </c>
      <c r="N14" s="97">
        <v>0.4</v>
      </c>
    </row>
    <row r="15" spans="2:14" ht="18" customHeight="1">
      <c r="B15" s="97">
        <v>3.25</v>
      </c>
      <c r="C15" s="97">
        <v>16</v>
      </c>
      <c r="D15" s="97">
        <v>19</v>
      </c>
      <c r="E15" s="97">
        <v>40</v>
      </c>
      <c r="F15" s="97">
        <v>16</v>
      </c>
      <c r="G15" s="97">
        <v>27</v>
      </c>
      <c r="H15" s="97">
        <v>64</v>
      </c>
      <c r="I15" s="97">
        <v>43</v>
      </c>
      <c r="J15" s="97">
        <v>114</v>
      </c>
      <c r="K15" s="97">
        <v>99</v>
      </c>
      <c r="L15" s="97">
        <v>79</v>
      </c>
      <c r="M15" s="97">
        <v>17</v>
      </c>
      <c r="N15" s="97">
        <v>0.7</v>
      </c>
    </row>
    <row r="16" spans="2:14" ht="18" customHeight="1">
      <c r="B16" s="97">
        <v>4.75</v>
      </c>
      <c r="C16" s="97">
        <v>19</v>
      </c>
      <c r="D16" s="97">
        <v>22</v>
      </c>
      <c r="E16" s="97">
        <v>47</v>
      </c>
      <c r="F16" s="97">
        <v>19</v>
      </c>
      <c r="G16" s="97">
        <v>31</v>
      </c>
      <c r="H16" s="97">
        <v>76</v>
      </c>
      <c r="I16" s="97">
        <v>51</v>
      </c>
      <c r="J16" s="97">
        <v>136</v>
      </c>
      <c r="K16" s="97">
        <v>115</v>
      </c>
      <c r="L16" s="97">
        <v>94</v>
      </c>
      <c r="M16" s="97">
        <v>20</v>
      </c>
      <c r="N16" s="97">
        <v>1.1000000000000001</v>
      </c>
    </row>
    <row r="17" spans="2:14" ht="18" customHeight="1">
      <c r="B17" s="97">
        <v>6.5</v>
      </c>
      <c r="C17" s="97">
        <v>22</v>
      </c>
      <c r="D17" s="97">
        <v>25</v>
      </c>
      <c r="E17" s="97">
        <v>53</v>
      </c>
      <c r="F17" s="97">
        <v>22</v>
      </c>
      <c r="G17" s="97">
        <v>36</v>
      </c>
      <c r="H17" s="97">
        <v>83</v>
      </c>
      <c r="I17" s="97">
        <v>58</v>
      </c>
      <c r="J17" s="97">
        <v>157</v>
      </c>
      <c r="K17" s="97">
        <v>131</v>
      </c>
      <c r="L17" s="97">
        <v>107</v>
      </c>
      <c r="M17" s="97">
        <v>23</v>
      </c>
      <c r="N17" s="97">
        <v>1.7</v>
      </c>
    </row>
    <row r="18" spans="2:14" ht="18" customHeight="1">
      <c r="B18" s="97">
        <v>8.5</v>
      </c>
      <c r="C18" s="97">
        <v>25</v>
      </c>
      <c r="D18" s="97">
        <v>28</v>
      </c>
      <c r="E18" s="97">
        <v>60</v>
      </c>
      <c r="F18" s="97">
        <v>25</v>
      </c>
      <c r="G18" s="97">
        <v>43</v>
      </c>
      <c r="H18" s="97">
        <v>95</v>
      </c>
      <c r="I18" s="97">
        <v>68</v>
      </c>
      <c r="J18" s="97">
        <v>176</v>
      </c>
      <c r="K18" s="97">
        <v>151</v>
      </c>
      <c r="L18" s="97">
        <v>124</v>
      </c>
      <c r="M18" s="97">
        <v>25</v>
      </c>
      <c r="N18" s="97">
        <v>2.5</v>
      </c>
    </row>
    <row r="19" spans="2:14" ht="18" customHeight="1">
      <c r="B19" s="97">
        <v>9.5</v>
      </c>
      <c r="C19" s="97">
        <v>28</v>
      </c>
      <c r="D19" s="97">
        <v>32</v>
      </c>
      <c r="E19" s="97">
        <v>67</v>
      </c>
      <c r="F19" s="97">
        <v>28</v>
      </c>
      <c r="G19" s="97">
        <v>47</v>
      </c>
      <c r="H19" s="97">
        <v>108</v>
      </c>
      <c r="I19" s="97">
        <v>75</v>
      </c>
      <c r="J19" s="97">
        <v>197</v>
      </c>
      <c r="K19" s="97">
        <v>167</v>
      </c>
      <c r="L19" s="97">
        <v>137</v>
      </c>
      <c r="M19" s="97">
        <v>28</v>
      </c>
      <c r="N19" s="97">
        <v>3.6</v>
      </c>
    </row>
    <row r="20" spans="2:14" ht="18" customHeight="1">
      <c r="B20" s="97">
        <v>12</v>
      </c>
      <c r="C20" s="97">
        <v>32</v>
      </c>
      <c r="D20" s="97">
        <v>35</v>
      </c>
      <c r="E20" s="97">
        <v>74</v>
      </c>
      <c r="F20" s="97">
        <v>32</v>
      </c>
      <c r="G20" s="97">
        <v>51</v>
      </c>
      <c r="H20" s="97">
        <v>115</v>
      </c>
      <c r="I20" s="97">
        <v>83</v>
      </c>
      <c r="J20" s="97">
        <v>218</v>
      </c>
      <c r="K20" s="97">
        <v>179</v>
      </c>
      <c r="L20" s="97">
        <v>154</v>
      </c>
      <c r="M20" s="97">
        <v>31</v>
      </c>
      <c r="N20" s="97">
        <v>4.9000000000000004</v>
      </c>
    </row>
    <row r="21" spans="2:14" ht="18" customHeight="1">
      <c r="B21" s="97">
        <v>13.5</v>
      </c>
      <c r="C21" s="97">
        <v>35</v>
      </c>
      <c r="D21" s="97">
        <v>38</v>
      </c>
      <c r="E21" s="97">
        <v>80</v>
      </c>
      <c r="F21" s="97">
        <v>35</v>
      </c>
      <c r="G21" s="97">
        <v>57</v>
      </c>
      <c r="H21" s="97">
        <v>133</v>
      </c>
      <c r="I21" s="97">
        <v>92</v>
      </c>
      <c r="J21" s="97">
        <v>240</v>
      </c>
      <c r="K21" s="97">
        <v>198</v>
      </c>
      <c r="L21" s="97">
        <v>170</v>
      </c>
      <c r="M21" s="97">
        <v>34</v>
      </c>
      <c r="N21" s="97">
        <v>6.5</v>
      </c>
    </row>
    <row r="22" spans="2:14" ht="18" customHeight="1">
      <c r="B22" s="97">
        <v>17</v>
      </c>
      <c r="C22" s="97">
        <v>38</v>
      </c>
      <c r="D22" s="97">
        <v>42</v>
      </c>
      <c r="E22" s="97">
        <v>89</v>
      </c>
      <c r="F22" s="97">
        <v>38</v>
      </c>
      <c r="G22" s="97">
        <v>60</v>
      </c>
      <c r="H22" s="97">
        <v>146</v>
      </c>
      <c r="I22" s="97">
        <v>99</v>
      </c>
      <c r="J22" s="97">
        <v>262</v>
      </c>
      <c r="K22" s="97">
        <v>203</v>
      </c>
      <c r="L22" s="97">
        <v>183</v>
      </c>
      <c r="M22" s="97">
        <v>19</v>
      </c>
      <c r="N22" s="97">
        <v>8.1</v>
      </c>
    </row>
    <row r="23" spans="2:14" ht="18" customHeight="1">
      <c r="B23" s="97">
        <v>25</v>
      </c>
      <c r="C23" s="97">
        <v>45</v>
      </c>
      <c r="D23" s="97">
        <v>50</v>
      </c>
      <c r="E23" s="97">
        <v>104</v>
      </c>
      <c r="F23" s="97">
        <v>45</v>
      </c>
      <c r="G23" s="97">
        <v>74</v>
      </c>
      <c r="H23" s="97">
        <v>178</v>
      </c>
      <c r="I23" s="97">
        <v>126</v>
      </c>
      <c r="J23" s="97">
        <v>314</v>
      </c>
      <c r="K23" s="97">
        <v>244</v>
      </c>
      <c r="L23" s="97">
        <v>226</v>
      </c>
      <c r="M23" s="97">
        <v>24</v>
      </c>
      <c r="N23" s="97">
        <v>14.2</v>
      </c>
    </row>
    <row r="24" spans="2:14" ht="18" customHeight="1">
      <c r="B24" s="97">
        <v>35</v>
      </c>
      <c r="C24" s="97">
        <v>50</v>
      </c>
      <c r="D24" s="97">
        <v>57</v>
      </c>
      <c r="E24" s="97">
        <v>119</v>
      </c>
      <c r="F24" s="97">
        <v>50</v>
      </c>
      <c r="G24" s="97">
        <v>83</v>
      </c>
      <c r="H24" s="97">
        <v>197</v>
      </c>
      <c r="I24" s="97">
        <v>138</v>
      </c>
      <c r="J24" s="97">
        <v>358</v>
      </c>
      <c r="K24" s="97">
        <v>270</v>
      </c>
      <c r="L24" s="97">
        <v>250</v>
      </c>
      <c r="M24" s="97">
        <v>27</v>
      </c>
      <c r="N24" s="97">
        <v>19.8</v>
      </c>
    </row>
    <row r="25" spans="2:14" ht="18" customHeight="1">
      <c r="B25" s="97">
        <v>42.5</v>
      </c>
      <c r="C25" s="97">
        <v>57</v>
      </c>
      <c r="D25" s="97">
        <v>65</v>
      </c>
      <c r="E25" s="97">
        <v>134</v>
      </c>
      <c r="F25" s="97">
        <v>57</v>
      </c>
      <c r="G25" s="97">
        <v>95</v>
      </c>
      <c r="H25" s="97">
        <v>222</v>
      </c>
      <c r="I25" s="97">
        <v>160</v>
      </c>
      <c r="J25" s="97">
        <v>414</v>
      </c>
      <c r="K25" s="97">
        <v>302</v>
      </c>
      <c r="L25" s="97">
        <v>287</v>
      </c>
      <c r="M25" s="97">
        <v>30</v>
      </c>
      <c r="N25" s="97">
        <v>28.3</v>
      </c>
    </row>
    <row r="26" spans="2:14" ht="18" customHeight="1">
      <c r="B26" s="97">
        <v>55</v>
      </c>
      <c r="C26" s="97">
        <v>65</v>
      </c>
      <c r="D26" s="97">
        <v>70</v>
      </c>
      <c r="E26" s="97">
        <v>145</v>
      </c>
      <c r="F26" s="97">
        <v>65</v>
      </c>
      <c r="G26" s="97">
        <v>105</v>
      </c>
      <c r="H26" s="97">
        <v>260</v>
      </c>
      <c r="I26" s="97">
        <v>180</v>
      </c>
      <c r="J26" s="97">
        <v>463</v>
      </c>
      <c r="K26" s="97">
        <v>330</v>
      </c>
      <c r="L26" s="97">
        <v>329</v>
      </c>
      <c r="M26" s="97">
        <v>33</v>
      </c>
      <c r="N26" s="97">
        <v>39.5</v>
      </c>
    </row>
    <row r="27" spans="2:14" ht="18" customHeight="1">
      <c r="B27" s="97">
        <v>85</v>
      </c>
      <c r="C27" s="97">
        <v>75</v>
      </c>
      <c r="D27" s="97">
        <v>83</v>
      </c>
      <c r="E27" s="97">
        <v>163</v>
      </c>
      <c r="F27" s="97">
        <v>75</v>
      </c>
      <c r="G27" s="97">
        <v>127</v>
      </c>
      <c r="H27" s="97">
        <v>329</v>
      </c>
      <c r="I27" s="97">
        <v>190</v>
      </c>
      <c r="J27" s="97">
        <v>556</v>
      </c>
      <c r="K27" s="97">
        <v>376</v>
      </c>
      <c r="L27" s="97">
        <v>355</v>
      </c>
      <c r="M27" s="97">
        <v>40</v>
      </c>
      <c r="N27" s="97">
        <v>62</v>
      </c>
    </row>
    <row r="28" spans="2:14" ht="18" customHeight="1"/>
    <row r="29" spans="2:14" ht="18" customHeight="1"/>
    <row r="30" spans="2:14" ht="15">
      <c r="B30" s="572" t="s">
        <v>809</v>
      </c>
    </row>
    <row r="31" spans="2:14" ht="15">
      <c r="B31" s="572" t="s">
        <v>810</v>
      </c>
    </row>
    <row r="32" spans="2:14" ht="15">
      <c r="B32" s="572" t="s">
        <v>811</v>
      </c>
    </row>
    <row r="33" spans="2:2" ht="15">
      <c r="B33" s="573" t="s">
        <v>812</v>
      </c>
    </row>
    <row r="34" spans="2:2" ht="15">
      <c r="B34" s="573" t="s">
        <v>813</v>
      </c>
    </row>
  </sheetData>
  <sheetProtection sheet="1" objects="1" scenarios="1" selectLockedCells="1"/>
  <mergeCells count="13">
    <mergeCell ref="N7:N8"/>
    <mergeCell ref="H7:H8"/>
    <mergeCell ref="I7:I8"/>
    <mergeCell ref="J7:J8"/>
    <mergeCell ref="K7:K8"/>
    <mergeCell ref="L7:L8"/>
    <mergeCell ref="M7:M8"/>
    <mergeCell ref="G7:G8"/>
    <mergeCell ref="B7:B8"/>
    <mergeCell ref="C7:C8"/>
    <mergeCell ref="D7:D8"/>
    <mergeCell ref="E7:E8"/>
    <mergeCell ref="F7:F8"/>
  </mergeCells>
  <hyperlinks>
    <hyperlink ref="N2" location="Home!A1" display="Home" xr:uid="{0B0ADEBC-75D9-474D-9AF7-9031D69902D4}"/>
    <hyperlink ref="B33" r:id="rId1" xr:uid="{EB4D894E-398D-4B14-87EF-00A3627EBE98}"/>
    <hyperlink ref="B34" r:id="rId2" xr:uid="{90AD6E6D-2812-4439-BE4E-B2A40434DCFB}"/>
  </hyperlinks>
  <pageMargins left="0.25" right="0.25" top="0.75" bottom="0.75" header="0.3" footer="0.3"/>
  <pageSetup paperSize="9" scale="86" orientation="landscape" horizontalDpi="300" verticalDpi="300"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E4C71-0A8C-4086-91F2-7AAC9D808766}">
  <sheetPr codeName="Sheet16">
    <pageSetUpPr fitToPage="1"/>
  </sheetPr>
  <dimension ref="B1:O31"/>
  <sheetViews>
    <sheetView showGridLines="0" showRowColHeaders="0" zoomScale="90" zoomScaleNormal="90" workbookViewId="0">
      <selection activeCell="L2" sqref="L2"/>
      <extLst>
        <ext xmlns:xlsdti="http://schemas.microsoft.com/office/spreadsheetml/2023/showDataTypeIcons" uri="{77bfe23e-c014-4d31-8a63-9c772dbf06b6}">
          <xlsdti:showDataTypeIcons visible="0"/>
        </ext>
      </extLst>
    </sheetView>
  </sheetViews>
  <sheetFormatPr defaultRowHeight="12"/>
  <cols>
    <col min="1" max="1" width="5.7109375" style="88" customWidth="1"/>
    <col min="2" max="16" width="8.7109375" style="88" customWidth="1"/>
    <col min="17" max="16384" width="9.140625" style="88"/>
  </cols>
  <sheetData>
    <row r="1" spans="2:15" ht="18" customHeight="1"/>
    <row r="2" spans="2:15" ht="18" customHeight="1">
      <c r="B2" s="146" t="s">
        <v>597</v>
      </c>
      <c r="L2" s="592" t="s">
        <v>298</v>
      </c>
      <c r="N2" s="68"/>
    </row>
    <row r="3" spans="2:15" ht="18" customHeight="1"/>
    <row r="4" spans="2:15" ht="18" customHeight="1"/>
    <row r="5" spans="2:15" ht="18" customHeight="1"/>
    <row r="6" spans="2:15" ht="18" customHeight="1"/>
    <row r="7" spans="2:15" ht="18" customHeight="1">
      <c r="B7" s="109" t="s">
        <v>573</v>
      </c>
      <c r="C7" s="109" t="s">
        <v>598</v>
      </c>
      <c r="D7" s="109" t="s">
        <v>575</v>
      </c>
      <c r="E7" s="109" t="s">
        <v>576</v>
      </c>
      <c r="F7" s="109" t="s">
        <v>577</v>
      </c>
      <c r="G7" s="109" t="s">
        <v>578</v>
      </c>
      <c r="H7" s="109" t="s">
        <v>579</v>
      </c>
      <c r="I7" s="109" t="s">
        <v>580</v>
      </c>
      <c r="J7" s="109" t="s">
        <v>581</v>
      </c>
      <c r="K7" s="109" t="s">
        <v>582</v>
      </c>
      <c r="L7" s="109" t="s">
        <v>599</v>
      </c>
      <c r="M7" s="109" t="s">
        <v>583</v>
      </c>
      <c r="N7" s="109" t="s">
        <v>600</v>
      </c>
      <c r="O7" s="109" t="s">
        <v>584</v>
      </c>
    </row>
    <row r="8" spans="2:15" ht="18" customHeight="1">
      <c r="B8" s="109"/>
      <c r="C8" s="109"/>
      <c r="D8" s="109"/>
      <c r="E8" s="109"/>
      <c r="F8" s="109"/>
      <c r="G8" s="109"/>
      <c r="H8" s="109"/>
      <c r="I8" s="109"/>
      <c r="J8" s="109"/>
      <c r="K8" s="109"/>
      <c r="L8" s="109"/>
      <c r="M8" s="109"/>
      <c r="N8" s="109"/>
      <c r="O8" s="109"/>
    </row>
    <row r="9" spans="2:15" ht="18" customHeight="1">
      <c r="B9" s="147" t="s">
        <v>585</v>
      </c>
      <c r="C9" s="147" t="s">
        <v>586</v>
      </c>
      <c r="D9" s="147" t="s">
        <v>587</v>
      </c>
      <c r="E9" s="147" t="s">
        <v>588</v>
      </c>
      <c r="F9" s="147" t="s">
        <v>589</v>
      </c>
      <c r="G9" s="147" t="s">
        <v>590</v>
      </c>
      <c r="H9" s="147" t="s">
        <v>591</v>
      </c>
      <c r="I9" s="147" t="s">
        <v>592</v>
      </c>
      <c r="J9" s="147" t="s">
        <v>593</v>
      </c>
      <c r="K9" s="147" t="s">
        <v>594</v>
      </c>
      <c r="L9" s="147" t="s">
        <v>595</v>
      </c>
      <c r="M9" s="147" t="s">
        <v>596</v>
      </c>
      <c r="N9" s="147" t="s">
        <v>601</v>
      </c>
      <c r="O9" s="147" t="s">
        <v>49</v>
      </c>
    </row>
    <row r="10" spans="2:15" ht="18" customHeight="1">
      <c r="B10" s="97">
        <v>40</v>
      </c>
      <c r="C10" s="97">
        <v>55</v>
      </c>
      <c r="D10" s="97">
        <v>51</v>
      </c>
      <c r="E10" s="97">
        <v>109</v>
      </c>
      <c r="F10" s="97">
        <v>45</v>
      </c>
      <c r="G10" s="97">
        <v>84</v>
      </c>
      <c r="H10" s="97">
        <v>199</v>
      </c>
      <c r="I10" s="97">
        <v>140</v>
      </c>
      <c r="J10" s="97">
        <v>331</v>
      </c>
      <c r="K10" s="97">
        <v>252</v>
      </c>
      <c r="L10" s="97">
        <v>235</v>
      </c>
      <c r="M10" s="97">
        <v>38</v>
      </c>
      <c r="N10" s="97">
        <v>97</v>
      </c>
      <c r="O10" s="97">
        <v>20</v>
      </c>
    </row>
    <row r="11" spans="2:15" ht="18" customHeight="1">
      <c r="B11" s="97">
        <v>55</v>
      </c>
      <c r="C11" s="97">
        <v>60</v>
      </c>
      <c r="D11" s="97">
        <v>57</v>
      </c>
      <c r="E11" s="97">
        <v>115</v>
      </c>
      <c r="F11" s="97">
        <v>55</v>
      </c>
      <c r="G11" s="97">
        <v>90</v>
      </c>
      <c r="H11" s="97">
        <v>240</v>
      </c>
      <c r="I11" s="97">
        <v>160</v>
      </c>
      <c r="J11" s="97">
        <v>389</v>
      </c>
      <c r="K11" s="97">
        <v>299</v>
      </c>
      <c r="L11" s="97">
        <v>270</v>
      </c>
      <c r="M11" s="97">
        <v>45</v>
      </c>
      <c r="N11" s="97">
        <v>100</v>
      </c>
      <c r="O11" s="97">
        <v>30</v>
      </c>
    </row>
    <row r="12" spans="2:15" ht="18" customHeight="1">
      <c r="B12" s="97">
        <v>75</v>
      </c>
      <c r="C12" s="97">
        <v>68</v>
      </c>
      <c r="D12" s="97">
        <v>70</v>
      </c>
      <c r="E12" s="97">
        <v>125</v>
      </c>
      <c r="F12" s="97">
        <v>54</v>
      </c>
      <c r="G12" s="97">
        <v>110</v>
      </c>
      <c r="H12" s="97">
        <v>290</v>
      </c>
      <c r="I12" s="97">
        <v>185</v>
      </c>
      <c r="J12" s="97">
        <v>473</v>
      </c>
      <c r="K12" s="97">
        <v>317</v>
      </c>
      <c r="L12" s="97">
        <v>317</v>
      </c>
      <c r="M12" s="97">
        <v>40</v>
      </c>
      <c r="N12" s="97">
        <v>120</v>
      </c>
      <c r="O12" s="97">
        <v>49</v>
      </c>
    </row>
    <row r="13" spans="2:15" ht="18" customHeight="1">
      <c r="B13" s="97">
        <v>125</v>
      </c>
      <c r="C13" s="97">
        <v>85</v>
      </c>
      <c r="D13" s="97">
        <v>80</v>
      </c>
      <c r="E13" s="97">
        <v>154</v>
      </c>
      <c r="F13" s="97">
        <v>85</v>
      </c>
      <c r="G13" s="97">
        <v>137</v>
      </c>
      <c r="H13" s="97">
        <v>366</v>
      </c>
      <c r="I13" s="97">
        <v>220</v>
      </c>
      <c r="J13" s="97">
        <v>583</v>
      </c>
      <c r="K13" s="97">
        <v>413</v>
      </c>
      <c r="L13" s="97">
        <v>390</v>
      </c>
      <c r="M13" s="97">
        <v>40</v>
      </c>
      <c r="N13" s="97">
        <v>150</v>
      </c>
      <c r="O13" s="97">
        <v>88</v>
      </c>
    </row>
    <row r="14" spans="2:15" ht="18" customHeight="1">
      <c r="B14" s="97">
        <v>150</v>
      </c>
      <c r="C14" s="97">
        <v>94</v>
      </c>
      <c r="D14" s="97">
        <v>95</v>
      </c>
      <c r="E14" s="97">
        <v>179</v>
      </c>
      <c r="F14" s="97">
        <v>89</v>
      </c>
      <c r="G14" s="97">
        <v>147</v>
      </c>
      <c r="H14" s="97">
        <v>391</v>
      </c>
      <c r="I14" s="97">
        <v>253</v>
      </c>
      <c r="J14" s="97">
        <v>645</v>
      </c>
      <c r="K14" s="97">
        <v>445</v>
      </c>
      <c r="L14" s="97">
        <v>434</v>
      </c>
      <c r="M14" s="97">
        <v>50</v>
      </c>
      <c r="N14" s="97">
        <v>170</v>
      </c>
      <c r="O14" s="97">
        <v>125</v>
      </c>
    </row>
    <row r="15" spans="2:15" ht="18" customHeight="1">
      <c r="B15" s="97">
        <v>200</v>
      </c>
      <c r="C15" s="97">
        <v>110</v>
      </c>
      <c r="D15" s="97">
        <v>105</v>
      </c>
      <c r="E15" s="97">
        <v>199</v>
      </c>
      <c r="F15" s="97">
        <v>100</v>
      </c>
      <c r="G15" s="97">
        <v>158</v>
      </c>
      <c r="H15" s="97">
        <v>481</v>
      </c>
      <c r="I15" s="97">
        <v>280</v>
      </c>
      <c r="J15" s="97">
        <v>759</v>
      </c>
      <c r="K15" s="97">
        <v>480</v>
      </c>
      <c r="L15" s="97">
        <v>482</v>
      </c>
      <c r="M15" s="97">
        <v>50</v>
      </c>
      <c r="N15" s="97">
        <v>205</v>
      </c>
      <c r="O15" s="97">
        <v>190</v>
      </c>
    </row>
    <row r="16" spans="2:15" ht="18" customHeight="1">
      <c r="B16" s="97">
        <v>250</v>
      </c>
      <c r="C16" s="97">
        <v>126</v>
      </c>
      <c r="D16" s="97">
        <v>120</v>
      </c>
      <c r="E16" s="97">
        <v>227</v>
      </c>
      <c r="F16" s="97">
        <v>110</v>
      </c>
      <c r="G16" s="97">
        <v>179</v>
      </c>
      <c r="H16" s="97">
        <v>542</v>
      </c>
      <c r="I16" s="97">
        <v>300</v>
      </c>
      <c r="J16" s="97">
        <v>859</v>
      </c>
      <c r="K16" s="97">
        <v>535</v>
      </c>
      <c r="L16" s="97">
        <v>530</v>
      </c>
      <c r="M16" s="97">
        <v>60</v>
      </c>
      <c r="N16" s="97">
        <v>240</v>
      </c>
      <c r="O16" s="97">
        <v>264</v>
      </c>
    </row>
    <row r="17" spans="2:2" ht="18" customHeight="1"/>
    <row r="18" spans="2:2" ht="18" customHeight="1"/>
    <row r="19" spans="2:2" ht="18" customHeight="1"/>
    <row r="20" spans="2:2" ht="18" customHeight="1"/>
    <row r="21" spans="2:2" ht="18" customHeight="1"/>
    <row r="22" spans="2:2" ht="18" customHeight="1"/>
    <row r="23" spans="2:2" ht="18" customHeight="1"/>
    <row r="24" spans="2:2" ht="18" customHeight="1"/>
    <row r="25" spans="2:2" ht="18" customHeight="1"/>
    <row r="26" spans="2:2" ht="18" customHeight="1"/>
    <row r="27" spans="2:2" ht="18" customHeight="1">
      <c r="B27" s="572" t="s">
        <v>809</v>
      </c>
    </row>
    <row r="28" spans="2:2" ht="18" customHeight="1">
      <c r="B28" s="572" t="s">
        <v>810</v>
      </c>
    </row>
    <row r="29" spans="2:2" ht="18" customHeight="1">
      <c r="B29" s="572" t="s">
        <v>811</v>
      </c>
    </row>
    <row r="30" spans="2:2" ht="15">
      <c r="B30" s="573" t="s">
        <v>812</v>
      </c>
    </row>
    <row r="31" spans="2:2" ht="15">
      <c r="B31" s="573" t="s">
        <v>813</v>
      </c>
    </row>
  </sheetData>
  <sheetProtection sheet="1" objects="1" scenarios="1" selectLockedCells="1"/>
  <mergeCells count="14">
    <mergeCell ref="N7:N8"/>
    <mergeCell ref="O7:O8"/>
    <mergeCell ref="H7:H8"/>
    <mergeCell ref="I7:I8"/>
    <mergeCell ref="J7:J8"/>
    <mergeCell ref="K7:K8"/>
    <mergeCell ref="L7:L8"/>
    <mergeCell ref="M7:M8"/>
    <mergeCell ref="G7:G8"/>
    <mergeCell ref="B7:B8"/>
    <mergeCell ref="C7:C8"/>
    <mergeCell ref="D7:D8"/>
    <mergeCell ref="E7:E8"/>
    <mergeCell ref="F7:F8"/>
  </mergeCells>
  <hyperlinks>
    <hyperlink ref="L2" location="Home!A1" display="Home" xr:uid="{1E994BCD-44E8-4FD2-9375-0895FA0DD6B9}"/>
    <hyperlink ref="B30" r:id="rId1" xr:uid="{83F70207-1DCC-4A98-8AAF-E43A59DD3D00}"/>
    <hyperlink ref="B31" r:id="rId2" xr:uid="{007AC004-2DE1-4BFD-91CF-D22A2CB26F61}"/>
  </hyperlinks>
  <pageMargins left="0.25" right="0.25" top="0.75" bottom="0.75" header="0.3" footer="0.3"/>
  <pageSetup paperSize="9" scale="87" orientation="landscape" horizontalDpi="300" verticalDpi="300"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57EA1-63D2-490D-BAE0-08D1ED5D2E97}">
  <sheetPr codeName="Sheet17">
    <pageSetUpPr fitToPage="1"/>
  </sheetPr>
  <dimension ref="B2:N38"/>
  <sheetViews>
    <sheetView showGridLines="0" showRowColHeaders="0" zoomScale="90" zoomScaleNormal="90" workbookViewId="0">
      <selection activeCell="L2" sqref="L2"/>
    </sheetView>
  </sheetViews>
  <sheetFormatPr defaultRowHeight="15"/>
  <cols>
    <col min="1" max="1" width="5.7109375" style="65" customWidth="1"/>
    <col min="2" max="16384" width="9.140625" style="65"/>
  </cols>
  <sheetData>
    <row r="2" spans="2:14" ht="20.25">
      <c r="B2" s="146" t="s">
        <v>602</v>
      </c>
      <c r="L2" s="592" t="s">
        <v>298</v>
      </c>
      <c r="N2" s="68"/>
    </row>
    <row r="7" spans="2:14">
      <c r="B7" s="162" t="s">
        <v>573</v>
      </c>
      <c r="C7" s="162" t="s">
        <v>574</v>
      </c>
      <c r="D7" s="162" t="s">
        <v>575</v>
      </c>
      <c r="E7" s="162" t="s">
        <v>576</v>
      </c>
      <c r="F7" s="162" t="s">
        <v>577</v>
      </c>
      <c r="G7" s="162" t="s">
        <v>578</v>
      </c>
      <c r="H7" s="162" t="s">
        <v>579</v>
      </c>
      <c r="I7" s="162" t="s">
        <v>580</v>
      </c>
      <c r="J7" s="162" t="s">
        <v>581</v>
      </c>
      <c r="K7" s="162" t="s">
        <v>582</v>
      </c>
      <c r="L7" s="162" t="s">
        <v>580</v>
      </c>
      <c r="M7" s="162" t="s">
        <v>583</v>
      </c>
      <c r="N7" s="162" t="s">
        <v>584</v>
      </c>
    </row>
    <row r="8" spans="2:14">
      <c r="B8" s="162"/>
      <c r="C8" s="162"/>
      <c r="D8" s="162"/>
      <c r="E8" s="162"/>
      <c r="F8" s="162"/>
      <c r="G8" s="162"/>
      <c r="H8" s="162"/>
      <c r="I8" s="162"/>
      <c r="J8" s="162"/>
      <c r="K8" s="162"/>
      <c r="L8" s="162"/>
      <c r="M8" s="162"/>
      <c r="N8" s="162"/>
    </row>
    <row r="9" spans="2:14">
      <c r="B9" s="163" t="s">
        <v>585</v>
      </c>
      <c r="C9" s="163" t="s">
        <v>586</v>
      </c>
      <c r="D9" s="163" t="s">
        <v>587</v>
      </c>
      <c r="E9" s="163" t="s">
        <v>588</v>
      </c>
      <c r="F9" s="163" t="s">
        <v>589</v>
      </c>
      <c r="G9" s="163" t="s">
        <v>590</v>
      </c>
      <c r="H9" s="163" t="s">
        <v>591</v>
      </c>
      <c r="I9" s="163" t="s">
        <v>592</v>
      </c>
      <c r="J9" s="163" t="s">
        <v>593</v>
      </c>
      <c r="K9" s="163" t="s">
        <v>594</v>
      </c>
      <c r="L9" s="163" t="s">
        <v>595</v>
      </c>
      <c r="M9" s="163" t="s">
        <v>596</v>
      </c>
      <c r="N9" s="163" t="s">
        <v>49</v>
      </c>
    </row>
    <row r="10" spans="2:14">
      <c r="B10" s="97">
        <v>3.3</v>
      </c>
      <c r="C10" s="97">
        <v>13.5</v>
      </c>
      <c r="D10" s="97">
        <v>16</v>
      </c>
      <c r="E10" s="97">
        <v>34</v>
      </c>
      <c r="F10" s="97">
        <v>13</v>
      </c>
      <c r="G10" s="97">
        <v>22</v>
      </c>
      <c r="H10" s="97">
        <v>51</v>
      </c>
      <c r="I10" s="97">
        <v>32</v>
      </c>
      <c r="J10" s="97">
        <v>90</v>
      </c>
      <c r="K10" s="97">
        <v>80</v>
      </c>
      <c r="L10" s="97">
        <v>59</v>
      </c>
      <c r="M10" s="97">
        <v>13</v>
      </c>
      <c r="N10" s="97">
        <v>0.4</v>
      </c>
    </row>
    <row r="11" spans="2:14">
      <c r="B11" s="97">
        <v>5</v>
      </c>
      <c r="C11" s="97">
        <v>16</v>
      </c>
      <c r="D11" s="97">
        <v>19</v>
      </c>
      <c r="E11" s="97">
        <v>40</v>
      </c>
      <c r="F11" s="97">
        <v>16</v>
      </c>
      <c r="G11" s="97">
        <v>27</v>
      </c>
      <c r="H11" s="97">
        <v>64</v>
      </c>
      <c r="I11" s="97">
        <v>43</v>
      </c>
      <c r="J11" s="97">
        <v>110</v>
      </c>
      <c r="K11" s="97">
        <v>98</v>
      </c>
      <c r="L11" s="97">
        <v>75</v>
      </c>
      <c r="M11" s="97">
        <v>17</v>
      </c>
      <c r="N11" s="97">
        <v>0.73</v>
      </c>
    </row>
    <row r="12" spans="2:14">
      <c r="B12" s="97">
        <v>7</v>
      </c>
      <c r="C12" s="97">
        <v>19</v>
      </c>
      <c r="D12" s="97">
        <v>22</v>
      </c>
      <c r="E12" s="97">
        <v>46</v>
      </c>
      <c r="F12" s="97">
        <v>19</v>
      </c>
      <c r="G12" s="97">
        <v>31</v>
      </c>
      <c r="H12" s="97">
        <v>76</v>
      </c>
      <c r="I12" s="97">
        <v>51</v>
      </c>
      <c r="J12" s="97">
        <v>129</v>
      </c>
      <c r="K12" s="97">
        <v>115</v>
      </c>
      <c r="L12" s="97">
        <v>89</v>
      </c>
      <c r="M12" s="97">
        <v>19</v>
      </c>
      <c r="N12" s="97">
        <v>1.19</v>
      </c>
    </row>
    <row r="13" spans="2:14">
      <c r="B13" s="97">
        <v>9.5</v>
      </c>
      <c r="C13" s="97">
        <v>22</v>
      </c>
      <c r="D13" s="97">
        <v>25</v>
      </c>
      <c r="E13" s="97">
        <v>52</v>
      </c>
      <c r="F13" s="97">
        <v>22</v>
      </c>
      <c r="G13" s="97">
        <v>36</v>
      </c>
      <c r="H13" s="97">
        <v>83</v>
      </c>
      <c r="I13" s="97">
        <v>58</v>
      </c>
      <c r="J13" s="97">
        <v>144</v>
      </c>
      <c r="K13" s="97">
        <v>130</v>
      </c>
      <c r="L13" s="97">
        <v>102</v>
      </c>
      <c r="M13" s="97">
        <v>22</v>
      </c>
      <c r="N13" s="97">
        <v>1.73</v>
      </c>
    </row>
    <row r="14" spans="2:14">
      <c r="B14" s="97">
        <v>12.5</v>
      </c>
      <c r="C14" s="97">
        <v>25</v>
      </c>
      <c r="D14" s="97">
        <v>28</v>
      </c>
      <c r="E14" s="97">
        <v>59</v>
      </c>
      <c r="F14" s="97">
        <v>25</v>
      </c>
      <c r="G14" s="97">
        <v>43</v>
      </c>
      <c r="H14" s="97">
        <v>95</v>
      </c>
      <c r="I14" s="97">
        <v>68</v>
      </c>
      <c r="J14" s="97">
        <v>164</v>
      </c>
      <c r="K14" s="97">
        <v>150</v>
      </c>
      <c r="L14" s="97">
        <v>118</v>
      </c>
      <c r="M14" s="97">
        <v>25</v>
      </c>
      <c r="N14" s="97">
        <v>2.56</v>
      </c>
    </row>
    <row r="15" spans="2:14">
      <c r="B15" s="97">
        <v>15</v>
      </c>
      <c r="C15" s="97">
        <v>28</v>
      </c>
      <c r="D15" s="97">
        <v>32</v>
      </c>
      <c r="E15" s="97">
        <v>67</v>
      </c>
      <c r="F15" s="97">
        <v>28</v>
      </c>
      <c r="G15" s="97">
        <v>47</v>
      </c>
      <c r="H15" s="97">
        <v>108</v>
      </c>
      <c r="I15" s="97">
        <v>75</v>
      </c>
      <c r="J15" s="97">
        <v>186</v>
      </c>
      <c r="K15" s="97">
        <v>166</v>
      </c>
      <c r="L15" s="97">
        <v>131</v>
      </c>
      <c r="M15" s="97">
        <v>27</v>
      </c>
      <c r="N15" s="97">
        <v>3.6</v>
      </c>
    </row>
    <row r="16" spans="2:14">
      <c r="B16" s="97">
        <v>18</v>
      </c>
      <c r="C16" s="97">
        <v>32</v>
      </c>
      <c r="D16" s="97">
        <v>35</v>
      </c>
      <c r="E16" s="97">
        <v>73</v>
      </c>
      <c r="F16" s="97">
        <v>32</v>
      </c>
      <c r="G16" s="97">
        <v>51</v>
      </c>
      <c r="H16" s="97">
        <v>115</v>
      </c>
      <c r="I16" s="97">
        <v>83</v>
      </c>
      <c r="J16" s="97">
        <v>201</v>
      </c>
      <c r="K16" s="97">
        <v>184</v>
      </c>
      <c r="L16" s="97">
        <v>147</v>
      </c>
      <c r="M16" s="97">
        <v>30</v>
      </c>
      <c r="N16" s="97">
        <v>4.95</v>
      </c>
    </row>
    <row r="17" spans="2:14">
      <c r="B17" s="97">
        <v>21</v>
      </c>
      <c r="C17" s="97">
        <v>35</v>
      </c>
      <c r="D17" s="97">
        <v>38</v>
      </c>
      <c r="E17" s="97">
        <v>79</v>
      </c>
      <c r="F17" s="97">
        <v>35</v>
      </c>
      <c r="G17" s="97">
        <v>57</v>
      </c>
      <c r="H17" s="97">
        <v>133</v>
      </c>
      <c r="I17" s="97">
        <v>92</v>
      </c>
      <c r="J17" s="97">
        <v>227</v>
      </c>
      <c r="K17" s="97">
        <v>197</v>
      </c>
      <c r="L17" s="97">
        <v>162</v>
      </c>
      <c r="M17" s="97">
        <v>33</v>
      </c>
      <c r="N17" s="97">
        <v>6.62</v>
      </c>
    </row>
    <row r="18" spans="2:14">
      <c r="B18" s="97">
        <v>30</v>
      </c>
      <c r="C18" s="97">
        <v>38</v>
      </c>
      <c r="D18" s="97">
        <v>42</v>
      </c>
      <c r="E18" s="97">
        <v>88</v>
      </c>
      <c r="F18" s="97">
        <v>38</v>
      </c>
      <c r="G18" s="97">
        <v>60</v>
      </c>
      <c r="H18" s="97">
        <v>146</v>
      </c>
      <c r="I18" s="97">
        <v>99</v>
      </c>
      <c r="J18" s="97">
        <v>249</v>
      </c>
      <c r="K18" s="97">
        <v>202</v>
      </c>
      <c r="L18" s="97">
        <v>175</v>
      </c>
      <c r="M18" s="97">
        <v>19</v>
      </c>
      <c r="N18" s="97">
        <v>8.11</v>
      </c>
    </row>
    <row r="19" spans="2:14">
      <c r="B19" s="97">
        <v>40</v>
      </c>
      <c r="C19" s="97">
        <v>45</v>
      </c>
      <c r="D19" s="97">
        <v>50</v>
      </c>
      <c r="E19" s="97">
        <v>104</v>
      </c>
      <c r="F19" s="97">
        <v>45</v>
      </c>
      <c r="G19" s="97">
        <v>74</v>
      </c>
      <c r="H19" s="97">
        <v>178</v>
      </c>
      <c r="I19" s="97">
        <v>126</v>
      </c>
      <c r="J19" s="97">
        <v>300</v>
      </c>
      <c r="K19" s="97">
        <v>243</v>
      </c>
      <c r="L19" s="97">
        <v>216</v>
      </c>
      <c r="M19" s="97">
        <v>23</v>
      </c>
      <c r="N19" s="97">
        <v>14.8</v>
      </c>
    </row>
    <row r="20" spans="2:14">
      <c r="B20" s="97">
        <v>55</v>
      </c>
      <c r="C20" s="97">
        <v>57</v>
      </c>
      <c r="D20" s="97">
        <v>57</v>
      </c>
      <c r="E20" s="97">
        <v>119</v>
      </c>
      <c r="F20" s="97">
        <v>57</v>
      </c>
      <c r="G20" s="97">
        <v>83</v>
      </c>
      <c r="H20" s="97">
        <v>197</v>
      </c>
      <c r="I20" s="97">
        <v>138</v>
      </c>
      <c r="J20" s="97">
        <v>342</v>
      </c>
      <c r="K20" s="97">
        <v>283</v>
      </c>
      <c r="L20" s="97">
        <v>252</v>
      </c>
      <c r="M20" s="97">
        <v>26</v>
      </c>
      <c r="N20" s="97">
        <v>23.3</v>
      </c>
    </row>
    <row r="21" spans="2:14">
      <c r="B21" s="97">
        <v>85</v>
      </c>
      <c r="C21" s="97">
        <v>70</v>
      </c>
      <c r="D21" s="97">
        <v>70</v>
      </c>
      <c r="E21" s="97">
        <v>145</v>
      </c>
      <c r="F21" s="97">
        <v>70</v>
      </c>
      <c r="G21" s="97">
        <v>105</v>
      </c>
      <c r="H21" s="97">
        <v>260</v>
      </c>
      <c r="I21" s="97">
        <v>180</v>
      </c>
      <c r="J21" s="97">
        <v>438</v>
      </c>
      <c r="K21" s="97">
        <v>339</v>
      </c>
      <c r="L21" s="97">
        <v>320</v>
      </c>
      <c r="M21" s="97">
        <v>32</v>
      </c>
      <c r="N21" s="97">
        <v>45.1</v>
      </c>
    </row>
    <row r="22" spans="2:14">
      <c r="B22" s="97">
        <v>120</v>
      </c>
      <c r="C22" s="97">
        <v>83</v>
      </c>
      <c r="D22" s="97">
        <v>83</v>
      </c>
      <c r="E22" s="97">
        <v>164</v>
      </c>
      <c r="F22" s="97">
        <v>83</v>
      </c>
      <c r="G22" s="97">
        <v>127</v>
      </c>
      <c r="H22" s="97">
        <v>329</v>
      </c>
      <c r="I22" s="97">
        <v>190</v>
      </c>
      <c r="J22" s="97">
        <v>537</v>
      </c>
      <c r="K22" s="97">
        <v>397</v>
      </c>
      <c r="L22" s="97">
        <v>356</v>
      </c>
      <c r="M22" s="97">
        <v>39</v>
      </c>
      <c r="N22" s="97">
        <v>72</v>
      </c>
    </row>
    <row r="23" spans="2:14">
      <c r="B23" s="97">
        <v>150</v>
      </c>
      <c r="C23" s="97">
        <v>95</v>
      </c>
      <c r="D23" s="97">
        <v>95</v>
      </c>
      <c r="E23" s="97">
        <v>204</v>
      </c>
      <c r="F23" s="97">
        <v>95</v>
      </c>
      <c r="G23" s="97">
        <v>147</v>
      </c>
      <c r="H23" s="97">
        <v>400</v>
      </c>
      <c r="I23" s="97">
        <v>238</v>
      </c>
      <c r="J23" s="97">
        <v>644</v>
      </c>
      <c r="K23" s="97">
        <v>453</v>
      </c>
      <c r="L23" s="97">
        <v>428</v>
      </c>
      <c r="M23" s="97">
        <v>50</v>
      </c>
      <c r="N23" s="97">
        <v>116</v>
      </c>
    </row>
    <row r="24" spans="2:14">
      <c r="B24" s="97">
        <v>175</v>
      </c>
      <c r="C24" s="97">
        <v>105</v>
      </c>
      <c r="D24" s="97">
        <v>108</v>
      </c>
      <c r="E24" s="97">
        <v>235</v>
      </c>
      <c r="F24" s="97">
        <v>105</v>
      </c>
      <c r="G24" s="97">
        <v>169</v>
      </c>
      <c r="H24" s="97">
        <v>410</v>
      </c>
      <c r="I24" s="97">
        <v>275</v>
      </c>
      <c r="J24" s="97">
        <v>686</v>
      </c>
      <c r="K24" s="97">
        <v>496</v>
      </c>
      <c r="L24" s="97">
        <v>485</v>
      </c>
      <c r="M24" s="97">
        <v>50</v>
      </c>
      <c r="N24" s="97">
        <v>156</v>
      </c>
    </row>
    <row r="34" spans="2:2">
      <c r="B34" s="572" t="s">
        <v>809</v>
      </c>
    </row>
    <row r="35" spans="2:2">
      <c r="B35" s="572" t="s">
        <v>810</v>
      </c>
    </row>
    <row r="36" spans="2:2">
      <c r="B36" s="572" t="s">
        <v>811</v>
      </c>
    </row>
    <row r="37" spans="2:2">
      <c r="B37" s="573" t="s">
        <v>812</v>
      </c>
    </row>
    <row r="38" spans="2:2">
      <c r="B38" s="573" t="s">
        <v>813</v>
      </c>
    </row>
  </sheetData>
  <sheetProtection sheet="1" objects="1" scenarios="1" selectLockedCells="1"/>
  <mergeCells count="13">
    <mergeCell ref="N7:N8"/>
    <mergeCell ref="H7:H8"/>
    <mergeCell ref="I7:I8"/>
    <mergeCell ref="J7:J8"/>
    <mergeCell ref="K7:K8"/>
    <mergeCell ref="L7:L8"/>
    <mergeCell ref="M7:M8"/>
    <mergeCell ref="G7:G8"/>
    <mergeCell ref="B7:B8"/>
    <mergeCell ref="C7:C8"/>
    <mergeCell ref="D7:D8"/>
    <mergeCell ref="E7:E8"/>
    <mergeCell ref="F7:F8"/>
  </mergeCells>
  <hyperlinks>
    <hyperlink ref="L2" location="Home!A1" display="Home" xr:uid="{4988999A-C5AA-47E8-B6C9-88885DE62859}"/>
    <hyperlink ref="B37" r:id="rId1" xr:uid="{F1074FAF-8620-480A-83D1-ED483E66BFC1}"/>
    <hyperlink ref="B38" r:id="rId2" xr:uid="{54160D1B-F363-4B5B-BD85-AFB4B1F469F4}"/>
  </hyperlinks>
  <pageMargins left="0.25" right="0.25" top="0.75" bottom="0.75" header="0.3" footer="0.3"/>
  <pageSetup paperSize="9" scale="79" orientation="landscape" horizontalDpi="300" verticalDpi="30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13</vt:i4>
      </vt:variant>
    </vt:vector>
  </HeadingPairs>
  <TitlesOfParts>
    <vt:vector size="49" baseType="lpstr">
      <vt:lpstr>Home</vt:lpstr>
      <vt:lpstr>Rigging calcs</vt:lpstr>
      <vt:lpstr>Rigging weights</vt:lpstr>
      <vt:lpstr>G80</vt:lpstr>
      <vt:lpstr>G100</vt:lpstr>
      <vt:lpstr>G120</vt:lpstr>
      <vt:lpstr>SB shackles</vt:lpstr>
      <vt:lpstr>WB shackles</vt:lpstr>
      <vt:lpstr>Super shackles</vt:lpstr>
      <vt:lpstr>Soft Rounds</vt:lpstr>
      <vt:lpstr>Wire slings 1770</vt:lpstr>
      <vt:lpstr>Wire slings 1960</vt:lpstr>
      <vt:lpstr>Conversions</vt:lpstr>
      <vt:lpstr>Load share calc</vt:lpstr>
      <vt:lpstr>Lift &amp; Tail calc</vt:lpstr>
      <vt:lpstr>Multi crane calcs</vt:lpstr>
      <vt:lpstr>Boom clearance</vt:lpstr>
      <vt:lpstr>Sling tensions - 2 pt</vt:lpstr>
      <vt:lpstr>Sling tensions - 4 pt</vt:lpstr>
      <vt:lpstr>4 point lift calc</vt:lpstr>
      <vt:lpstr>Load splits - 8 pt</vt:lpstr>
      <vt:lpstr>Sling tensions - 8 pt</vt:lpstr>
      <vt:lpstr>Interpolate</vt:lpstr>
      <vt:lpstr>Wind speeds</vt:lpstr>
      <vt:lpstr>GBP Calc</vt:lpstr>
      <vt:lpstr>Min hook weight</vt:lpstr>
      <vt:lpstr>Interpolate SSL</vt:lpstr>
      <vt:lpstr>Liebherr line pulls</vt:lpstr>
      <vt:lpstr>Tadano line pulls</vt:lpstr>
      <vt:lpstr>Grove line pulls</vt:lpstr>
      <vt:lpstr>Demag line pulls</vt:lpstr>
      <vt:lpstr>Misc Line pulls</vt:lpstr>
      <vt:lpstr>Liebherr hooks</vt:lpstr>
      <vt:lpstr>Tadano hooks</vt:lpstr>
      <vt:lpstr>Grove hooks</vt:lpstr>
      <vt:lpstr>Demag hooks</vt:lpstr>
      <vt:lpstr>'4 point lift calc'!Print_Area</vt:lpstr>
      <vt:lpstr>'Boom clearance'!Print_Area</vt:lpstr>
      <vt:lpstr>Conversions!Print_Area</vt:lpstr>
      <vt:lpstr>'GBP Calc'!Print_Area</vt:lpstr>
      <vt:lpstr>'Lift &amp; Tail calc'!Print_Area</vt:lpstr>
      <vt:lpstr>'Load splits - 8 pt'!Print_Area</vt:lpstr>
      <vt:lpstr>'Multi crane calcs'!Print_Area</vt:lpstr>
      <vt:lpstr>'Rigging calcs'!Print_Area</vt:lpstr>
      <vt:lpstr>'Rigging weights'!Print_Area</vt:lpstr>
      <vt:lpstr>'Sling tensions - 4 pt'!Print_Area</vt:lpstr>
      <vt:lpstr>'Sling tensions - 8 pt'!Print_Area</vt:lpstr>
      <vt:lpstr>'Super shackles'!Print_Area</vt:lpstr>
      <vt:lpstr>'Wind speeds'!Print_Area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dc:creator>
  <cp:lastModifiedBy>Russell Parker</cp:lastModifiedBy>
  <cp:lastPrinted>2026-06-22T11:58:42Z</cp:lastPrinted>
  <dcterms:created xsi:type="dcterms:W3CDTF">2021-11-26T08:00:10Z</dcterms:created>
  <dcterms:modified xsi:type="dcterms:W3CDTF">2026-07-26T12:29:21Z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hortcut_file_id">
    <vt:lpwstr>14ea5b2b-d605-4b89-bcb1-51c8eee59c9a</vt:lpwstr>
  </property>
</Properties>
</file>